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firstSheet="2" activeTab="4"/>
  </bookViews>
  <sheets>
    <sheet name="Q1" sheetId="1" r:id="rId1"/>
    <sheet name="Q2" sheetId="2" r:id="rId2"/>
    <sheet name="Q3" sheetId="3" r:id="rId3"/>
    <sheet name="Q4" sheetId="4" r:id="rId4"/>
    <sheet name="Q5" sheetId="5" r:id="rId5"/>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8" i="5" l="1"/>
  <c r="E39" i="3"/>
  <c r="E52" i="3"/>
  <c r="G57" i="3"/>
  <c r="E54" i="3"/>
  <c r="E55" i="3"/>
  <c r="D19" i="5"/>
  <c r="D21" i="5"/>
  <c r="D15" i="5"/>
  <c r="C19" i="5"/>
  <c r="C21" i="5"/>
  <c r="C15" i="5"/>
  <c r="D38" i="4"/>
  <c r="E38" i="4"/>
  <c r="G38" i="4" s="1"/>
  <c r="F38" i="4"/>
  <c r="D39" i="4"/>
  <c r="E39" i="4"/>
  <c r="G39" i="4" s="1"/>
  <c r="F39" i="4"/>
  <c r="D40" i="4"/>
  <c r="E40" i="4"/>
  <c r="G40" i="4" s="1"/>
  <c r="F40" i="4"/>
  <c r="D41" i="4"/>
  <c r="E41" i="4"/>
  <c r="G41" i="4" s="1"/>
  <c r="F41" i="4"/>
  <c r="D42" i="4"/>
  <c r="E42" i="4"/>
  <c r="G42" i="4" s="1"/>
  <c r="F42" i="4"/>
  <c r="D43" i="4"/>
  <c r="E43" i="4"/>
  <c r="G43" i="4" s="1"/>
  <c r="F43" i="4"/>
  <c r="D44" i="4"/>
  <c r="E44" i="4"/>
  <c r="G44" i="4" s="1"/>
  <c r="F44" i="4"/>
  <c r="D45" i="4"/>
  <c r="E45" i="4"/>
  <c r="G45" i="4" s="1"/>
  <c r="F45" i="4"/>
  <c r="D46" i="4"/>
  <c r="E46" i="4"/>
  <c r="G46" i="4" s="1"/>
  <c r="F46" i="4"/>
  <c r="D47" i="4"/>
  <c r="E47" i="4"/>
  <c r="G47" i="4" s="1"/>
  <c r="F47" i="4"/>
  <c r="G37" i="4"/>
  <c r="F37" i="4"/>
  <c r="E37" i="4"/>
  <c r="D37" i="4"/>
  <c r="B29" i="4" l="1"/>
  <c r="B30" i="4" s="1"/>
  <c r="B32" i="4" s="1"/>
  <c r="B28" i="4"/>
  <c r="B31" i="4"/>
  <c r="B20" i="4"/>
  <c r="B21" i="4"/>
  <c r="B23" i="4"/>
  <c r="B15" i="4"/>
  <c r="B13" i="4"/>
  <c r="B12" i="4"/>
  <c r="B14" i="4" s="1"/>
  <c r="B8" i="4"/>
  <c r="B73" i="3"/>
  <c r="B74" i="3"/>
  <c r="B71" i="3"/>
  <c r="B69" i="3"/>
  <c r="B70" i="3"/>
  <c r="B72" i="3"/>
  <c r="B68" i="3"/>
  <c r="B66" i="3"/>
  <c r="B67" i="3"/>
  <c r="B65" i="3"/>
  <c r="E56" i="3"/>
  <c r="E57" i="3"/>
  <c r="E45" i="3"/>
  <c r="F58" i="3" s="1"/>
  <c r="F52" i="3"/>
  <c r="G52" i="3" s="1"/>
  <c r="G32" i="3"/>
  <c r="E43" i="3" s="1"/>
  <c r="F56" i="3" s="1"/>
  <c r="G56" i="3" s="1"/>
  <c r="G31" i="3"/>
  <c r="E42" i="3" s="1"/>
  <c r="F55" i="3" s="1"/>
  <c r="G55" i="3" s="1"/>
  <c r="C18" i="5" s="1"/>
  <c r="G30" i="3"/>
  <c r="E41" i="3" s="1"/>
  <c r="F54" i="3" s="1"/>
  <c r="G54" i="3" s="1"/>
  <c r="C17" i="5" s="1"/>
  <c r="D17" i="5" s="1"/>
  <c r="G29" i="3"/>
  <c r="E22" i="3"/>
  <c r="E20" i="3"/>
  <c r="E19" i="3"/>
  <c r="E18" i="3"/>
  <c r="E16" i="3"/>
  <c r="E21" i="3" s="1"/>
  <c r="E23" i="3" s="1"/>
  <c r="J33" i="2"/>
  <c r="J32" i="2"/>
  <c r="I31" i="2"/>
  <c r="J31" i="2" s="1"/>
  <c r="H31" i="2"/>
  <c r="I30" i="2"/>
  <c r="H30" i="2"/>
  <c r="J30" i="2" s="1"/>
  <c r="G30" i="2"/>
  <c r="F30" i="2"/>
  <c r="E30" i="2"/>
  <c r="J28" i="2"/>
  <c r="I28" i="2"/>
  <c r="H28" i="2"/>
  <c r="G28" i="2"/>
  <c r="F28" i="2"/>
  <c r="I27" i="2"/>
  <c r="H27" i="2"/>
  <c r="G27" i="2"/>
  <c r="J27" i="2" s="1"/>
  <c r="F27" i="2"/>
  <c r="E27" i="2"/>
  <c r="J25" i="2"/>
  <c r="J23" i="2"/>
  <c r="I23" i="2"/>
  <c r="H23" i="2"/>
  <c r="G23" i="2"/>
  <c r="F23" i="2"/>
  <c r="I22" i="2"/>
  <c r="I34" i="2" s="1"/>
  <c r="H22" i="2"/>
  <c r="H34" i="2" s="1"/>
  <c r="G22" i="2"/>
  <c r="J22" i="2" s="1"/>
  <c r="F22" i="2"/>
  <c r="E22" i="2"/>
  <c r="E18" i="2"/>
  <c r="J17" i="2"/>
  <c r="I15" i="2"/>
  <c r="H15" i="2"/>
  <c r="F15" i="2"/>
  <c r="J14" i="2"/>
  <c r="J13" i="2"/>
  <c r="I13" i="2"/>
  <c r="H13" i="2"/>
  <c r="G13" i="2"/>
  <c r="I16" i="2" s="1"/>
  <c r="F13" i="2"/>
  <c r="G15" i="2" s="1"/>
  <c r="J15" i="2" s="1"/>
  <c r="E13" i="2"/>
  <c r="G16" i="2" s="1"/>
  <c r="B16" i="4" l="1"/>
  <c r="B22" i="4"/>
  <c r="B24" i="4" s="1"/>
  <c r="E58" i="3"/>
  <c r="E59" i="3" s="1"/>
  <c r="E44" i="3"/>
  <c r="H16" i="2"/>
  <c r="J16" i="2" s="1"/>
  <c r="G34" i="2"/>
  <c r="J34" i="2" s="1"/>
  <c r="F18" i="2"/>
  <c r="G18" i="2"/>
  <c r="E46" i="3" l="1"/>
  <c r="F59" i="3" s="1"/>
  <c r="G59" i="3" s="1"/>
  <c r="C22" i="5" s="1"/>
  <c r="D22" i="5" s="1"/>
  <c r="F57" i="3"/>
  <c r="C20" i="5" s="1"/>
  <c r="D20" i="5" s="1"/>
  <c r="G58" i="3"/>
  <c r="J18" i="2"/>
  <c r="G35" i="2"/>
  <c r="H12" i="2" s="1"/>
  <c r="H18" i="2" s="1"/>
  <c r="H35" i="2" s="1"/>
  <c r="I12" i="2" s="1"/>
  <c r="I18" i="2" s="1"/>
  <c r="I35" i="2" s="1"/>
  <c r="F20" i="1"/>
  <c r="E21" i="1" s="1"/>
  <c r="F23" i="1" s="1"/>
  <c r="G20" i="1"/>
  <c r="F21" i="1" s="1"/>
  <c r="G23" i="1" s="1"/>
  <c r="H20" i="1"/>
  <c r="G21" i="1" s="1"/>
  <c r="H23" i="1" s="1"/>
  <c r="E20" i="1"/>
  <c r="J4" i="1"/>
  <c r="J35" i="2" l="1"/>
  <c r="E38" i="2"/>
  <c r="E40" i="2" s="1"/>
  <c r="H22" i="1"/>
  <c r="H24" i="1" s="1"/>
  <c r="E22" i="1"/>
  <c r="E24" i="1" s="1"/>
  <c r="G22" i="1"/>
  <c r="G24" i="1" s="1"/>
  <c r="F22" i="1"/>
  <c r="F24" i="1" s="1"/>
  <c r="J24" i="1" l="1"/>
  <c r="F5" i="1"/>
  <c r="E6" i="1"/>
  <c r="F9" i="1" l="1"/>
  <c r="F12" i="1"/>
  <c r="E11" i="1"/>
  <c r="E13" i="1" s="1"/>
  <c r="F6" i="1"/>
  <c r="G5" i="1"/>
  <c r="G12" i="1" l="1"/>
  <c r="F11" i="1"/>
  <c r="F13" i="1" s="1"/>
  <c r="G6" i="1"/>
  <c r="H5" i="1"/>
  <c r="H6" i="1" s="1"/>
  <c r="H11" i="1" s="1"/>
  <c r="G11" i="1" l="1"/>
  <c r="G13" i="1" s="1"/>
  <c r="H12" i="1"/>
  <c r="H13" i="1" s="1"/>
  <c r="J6" i="1"/>
  <c r="J13" i="1" l="1"/>
</calcChain>
</file>

<file path=xl/sharedStrings.xml><?xml version="1.0" encoding="utf-8"?>
<sst xmlns="http://schemas.openxmlformats.org/spreadsheetml/2006/main" count="212" uniqueCount="127">
  <si>
    <t>Feb</t>
  </si>
  <si>
    <t>May</t>
  </si>
  <si>
    <t xml:space="preserve"> of current priod</t>
  </si>
  <si>
    <t>of prior period</t>
  </si>
  <si>
    <t>Cash collected</t>
  </si>
  <si>
    <t>Sales Budget</t>
  </si>
  <si>
    <t>March</t>
  </si>
  <si>
    <t>April</t>
  </si>
  <si>
    <t>Total</t>
  </si>
  <si>
    <t>Estimated Sales</t>
  </si>
  <si>
    <t>Seeling price</t>
  </si>
  <si>
    <t>Total sals</t>
  </si>
  <si>
    <t>Cash collection</t>
  </si>
  <si>
    <t>Accounts Receivable balance</t>
  </si>
  <si>
    <t>Receipts</t>
  </si>
  <si>
    <t>Total cash collection</t>
  </si>
  <si>
    <t>Budgeted estimated sales</t>
  </si>
  <si>
    <t xml:space="preserve">     + Desired Closing Inventory</t>
  </si>
  <si>
    <t>Total production needs</t>
  </si>
  <si>
    <t>January</t>
  </si>
  <si>
    <t xml:space="preserve">   - Opening inventory</t>
  </si>
  <si>
    <t>Budgeted Production</t>
  </si>
  <si>
    <t>Production Budget 2018</t>
  </si>
  <si>
    <t>Cash Budget 2018</t>
  </si>
  <si>
    <t>Beginning cash balance</t>
  </si>
  <si>
    <t>Cash sales</t>
  </si>
  <si>
    <t>Sales</t>
  </si>
  <si>
    <t>June</t>
  </si>
  <si>
    <t>Two months after sales</t>
  </si>
  <si>
    <t>One month after sale</t>
  </si>
  <si>
    <t>Income from investments</t>
  </si>
  <si>
    <t>Total cash in flows</t>
  </si>
  <si>
    <t>Payments:</t>
  </si>
  <si>
    <t>Purchases</t>
  </si>
  <si>
    <t>Cash purchase</t>
  </si>
  <si>
    <t>Payment after  1 month</t>
  </si>
  <si>
    <t>Rent expense</t>
  </si>
  <si>
    <t>Wages</t>
  </si>
  <si>
    <t>Sales expense</t>
  </si>
  <si>
    <t>80% in the same month</t>
  </si>
  <si>
    <t>20% in the following month</t>
  </si>
  <si>
    <t>General Overheads</t>
  </si>
  <si>
    <t>Income tax expense</t>
  </si>
  <si>
    <t>Dividend</t>
  </si>
  <si>
    <t>Total payment</t>
  </si>
  <si>
    <t>Net cash Surplus/(Deficit)</t>
  </si>
  <si>
    <t>Minimum cash balance</t>
  </si>
  <si>
    <t>Cash balance at the end of June</t>
  </si>
  <si>
    <t>Task 1 a</t>
  </si>
  <si>
    <t>Task 1b</t>
  </si>
  <si>
    <t>Variance</t>
  </si>
  <si>
    <t xml:space="preserve">The banak will offer Mrs. Trek the loan because the cash balance at the end of june is more than £38,000. </t>
  </si>
  <si>
    <t>There is a positive variance betwee the cash budget at 30 June 2018 and the balance Mrs. Trek requires to obtain the bank loan.</t>
  </si>
  <si>
    <t>Task 3A</t>
  </si>
  <si>
    <t>Details</t>
  </si>
  <si>
    <t>Sales price per table</t>
  </si>
  <si>
    <t>Iron</t>
  </si>
  <si>
    <t>Glass</t>
  </si>
  <si>
    <t>Labor Cost per</t>
  </si>
  <si>
    <t>Quantity per unit</t>
  </si>
  <si>
    <t xml:space="preserve">Variable </t>
  </si>
  <si>
    <t>Price per Unit</t>
  </si>
  <si>
    <t>Cost per quantity</t>
  </si>
  <si>
    <t>Fixed Production</t>
  </si>
  <si>
    <t>Number of tables</t>
  </si>
  <si>
    <t>Fixed Budget</t>
  </si>
  <si>
    <t>Variable cost:</t>
  </si>
  <si>
    <t>Material cost</t>
  </si>
  <si>
    <t>Labor cost</t>
  </si>
  <si>
    <t>Variable overhead</t>
  </si>
  <si>
    <t>Contribution</t>
  </si>
  <si>
    <t>Fixed production expense</t>
  </si>
  <si>
    <t xml:space="preserve">Net Operating </t>
  </si>
  <si>
    <t>Task 3b</t>
  </si>
  <si>
    <t>Task 3c</t>
  </si>
  <si>
    <t>Flexible budget</t>
  </si>
  <si>
    <t>Actual</t>
  </si>
  <si>
    <t>Comment</t>
  </si>
  <si>
    <t>Actual Budget</t>
  </si>
  <si>
    <t>Unfavorable</t>
  </si>
  <si>
    <t>No comment</t>
  </si>
  <si>
    <t>Task 3d</t>
  </si>
  <si>
    <t>Sales price variance</t>
  </si>
  <si>
    <t>j) Variable overhead efficiency variance (hrs)</t>
  </si>
  <si>
    <t>Material 1 usage variance - Iron</t>
  </si>
  <si>
    <t>Material 1 price variance - Iron</t>
  </si>
  <si>
    <t xml:space="preserve"> Material 2 usage variance - Glass</t>
  </si>
  <si>
    <t xml:space="preserve"> Material 2 price variance - Glass</t>
  </si>
  <si>
    <t xml:space="preserve"> Labour rate variance (£)</t>
  </si>
  <si>
    <t>Labour efficiency variance (hours)</t>
  </si>
  <si>
    <t xml:space="preserve"> Fixed production variance</t>
  </si>
  <si>
    <t xml:space="preserve"> Variable overhead price variance (£)</t>
  </si>
  <si>
    <t>Value</t>
  </si>
  <si>
    <t>Selling price</t>
  </si>
  <si>
    <t>Production cost per light globe</t>
  </si>
  <si>
    <t>Variable cost</t>
  </si>
  <si>
    <t>Fixed overhead cost per year</t>
  </si>
  <si>
    <t>Task 4a</t>
  </si>
  <si>
    <t>1) Break-even number of globes</t>
  </si>
  <si>
    <t xml:space="preserve">2) Profit or loss from selling: </t>
  </si>
  <si>
    <t>b. 45 light globes</t>
  </si>
  <si>
    <t>c. 55 light globes</t>
  </si>
  <si>
    <t>a) 20 light globes</t>
  </si>
  <si>
    <t>Fixed cost</t>
  </si>
  <si>
    <t>Profit</t>
  </si>
  <si>
    <t>Units</t>
  </si>
  <si>
    <t>U</t>
  </si>
  <si>
    <t>Total cost</t>
  </si>
  <si>
    <t>Revenue</t>
  </si>
  <si>
    <t>FC</t>
  </si>
  <si>
    <t>VC</t>
  </si>
  <si>
    <t>TC</t>
  </si>
  <si>
    <t>R</t>
  </si>
  <si>
    <t>P</t>
  </si>
  <si>
    <t>Units*VC</t>
  </si>
  <si>
    <t>FC+VC</t>
  </si>
  <si>
    <t>Units*SP</t>
  </si>
  <si>
    <t>R-TC</t>
  </si>
  <si>
    <t>Task 5a</t>
  </si>
  <si>
    <t>Task 5b</t>
  </si>
  <si>
    <t>Analysis</t>
  </si>
  <si>
    <t>Non-significant</t>
  </si>
  <si>
    <t>Significant</t>
  </si>
  <si>
    <t>Relevant manager</t>
  </si>
  <si>
    <t>Plant manager</t>
  </si>
  <si>
    <t>Human resource manager</t>
  </si>
  <si>
    <t>Finance manager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</si>
</sst>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_(* #,##0_);_(* \(#,##0\);_(* &quot;-&quot;??_);_(@_)"/>
    <numFmt numFmtId="165" formatCode="_-[$£-809]* #,##0.00_-;\-[$£-809]* #,##0.00_-;_-[$£-809]* &quot;-&quot;??_-;_-@_-"/>
    <numFmt numFmtId="166" formatCode="_-[$£-809]* #,##0_-;\-[$£-809]* #,##0_-;_-[$£-809]* &quot;-&quot;??_-;_-@_-"/>
  </numFmts>
  <fonts count="25" x14ac:knownFonts="1">
    <font>
      <sz val="11"/>
      <color theme="1"/>
      <name val="Calibri"/>
      <family val="2"/>
      <scheme val="minor"/>
    </font>
    <font>
      <sz val="11"/>
      <color theme="1"/>
      <name val="Calibri"/>
      <family val="2"/>
      <scheme val="minor"/>
    </font>
    <font>
      <b/>
      <sz val="11"/>
      <color theme="1"/>
      <name val="Calibri"/>
      <family val="2"/>
      <scheme val="minor"/>
    </font>
    <font>
      <sz val="12"/>
      <name val="Arial"/>
      <family val="2"/>
    </font>
    <font>
      <b/>
      <u/>
      <sz val="12"/>
      <name val="Arial"/>
      <family val="2"/>
    </font>
    <font>
      <b/>
      <sz val="12"/>
      <name val="Arial"/>
      <family val="2"/>
    </font>
    <font>
      <b/>
      <sz val="12"/>
      <color rgb="FFFF0000"/>
      <name val="Arial"/>
      <family val="2"/>
    </font>
    <font>
      <b/>
      <sz val="12"/>
      <color theme="0"/>
      <name val="Arial"/>
      <family val="2"/>
    </font>
    <font>
      <sz val="11"/>
      <name val="Calibri"/>
      <family val="2"/>
      <scheme val="minor"/>
    </font>
    <font>
      <b/>
      <sz val="14"/>
      <color rgb="FF0070C0"/>
      <name val="Times New Roman"/>
      <family val="1"/>
    </font>
    <font>
      <b/>
      <i/>
      <sz val="12"/>
      <name val="Arial"/>
      <family val="2"/>
    </font>
    <font>
      <i/>
      <sz val="12"/>
      <name val="Arial"/>
      <family val="2"/>
    </font>
    <font>
      <b/>
      <sz val="12"/>
      <color theme="1"/>
      <name val="Calibri"/>
      <family val="2"/>
      <scheme val="minor"/>
    </font>
    <font>
      <b/>
      <sz val="16"/>
      <color theme="5"/>
      <name val="Calibri"/>
      <family val="2"/>
      <scheme val="minor"/>
    </font>
    <font>
      <b/>
      <sz val="12"/>
      <color theme="1"/>
      <name val="Times New Roman"/>
      <family val="1"/>
    </font>
    <font>
      <b/>
      <sz val="14"/>
      <color theme="5"/>
      <name val="Calibri"/>
      <family val="2"/>
      <scheme val="minor"/>
    </font>
    <font>
      <b/>
      <i/>
      <sz val="14"/>
      <name val="Calibri"/>
      <family val="2"/>
      <scheme val="minor"/>
    </font>
    <font>
      <b/>
      <i/>
      <u val="singleAccounting"/>
      <sz val="12"/>
      <name val="Arial"/>
      <family val="2"/>
    </font>
    <font>
      <b/>
      <u val="singleAccounting"/>
      <sz val="12"/>
      <name val="Arial"/>
      <family val="2"/>
    </font>
    <font>
      <b/>
      <i/>
      <u/>
      <sz val="14"/>
      <name val="Calibri"/>
      <family val="2"/>
      <scheme val="minor"/>
    </font>
    <font>
      <sz val="12"/>
      <color theme="1"/>
      <name val="Arial"/>
      <family val="2"/>
    </font>
    <font>
      <b/>
      <sz val="12"/>
      <color theme="1"/>
      <name val="Arial"/>
      <family val="2"/>
    </font>
    <font>
      <b/>
      <i/>
      <sz val="12"/>
      <color theme="1"/>
      <name val="Arial"/>
      <family val="2"/>
    </font>
    <font>
      <i/>
      <sz val="12"/>
      <color theme="1"/>
      <name val="Arial"/>
      <family val="2"/>
    </font>
    <font>
      <b/>
      <sz val="14"/>
      <color theme="1"/>
      <name val="Arial"/>
      <family val="2"/>
    </font>
  </fonts>
  <fills count="6">
    <fill>
      <patternFill patternType="none"/>
    </fill>
    <fill>
      <patternFill patternType="gray125"/>
    </fill>
    <fill>
      <patternFill patternType="solid">
        <fgColor theme="7" tint="0.79998168889431442"/>
        <bgColor indexed="64"/>
      </patternFill>
    </fill>
    <fill>
      <patternFill patternType="solid">
        <fgColor theme="3" tint="-0.499984740745262"/>
        <bgColor indexed="64"/>
      </patternFill>
    </fill>
    <fill>
      <patternFill patternType="gray0625"/>
    </fill>
    <fill>
      <patternFill patternType="solid">
        <fgColor theme="1"/>
        <bgColor indexed="64"/>
      </patternFill>
    </fill>
  </fills>
  <borders count="15">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medium">
        <color indexed="64"/>
      </bottom>
      <diagonal/>
    </border>
    <border>
      <left/>
      <right/>
      <top style="medium">
        <color indexed="64"/>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89">
    <xf numFmtId="0" fontId="0" fillId="0" borderId="0" xfId="0"/>
    <xf numFmtId="0" fontId="3" fillId="0" borderId="0" xfId="0" applyFont="1"/>
    <xf numFmtId="0" fontId="3" fillId="0" borderId="0" xfId="0" applyFont="1" applyAlignment="1">
      <alignment horizontal="right"/>
    </xf>
    <xf numFmtId="0" fontId="4" fillId="0" borderId="0" xfId="0" applyFont="1" applyAlignment="1">
      <alignment horizontal="center"/>
    </xf>
    <xf numFmtId="0" fontId="4" fillId="2" borderId="0" xfId="0" applyFont="1" applyFill="1" applyAlignment="1">
      <alignment horizontal="center"/>
    </xf>
    <xf numFmtId="0" fontId="4" fillId="2" borderId="1" xfId="0" applyFont="1" applyFill="1" applyBorder="1" applyAlignment="1">
      <alignment horizontal="center"/>
    </xf>
    <xf numFmtId="0" fontId="5" fillId="0" borderId="0" xfId="0" applyFont="1" applyAlignment="1">
      <alignment horizontal="right"/>
    </xf>
    <xf numFmtId="164" fontId="5" fillId="0" borderId="0" xfId="1" applyNumberFormat="1" applyFont="1"/>
    <xf numFmtId="164" fontId="5" fillId="2" borderId="0" xfId="1" applyNumberFormat="1" applyFont="1" applyFill="1"/>
    <xf numFmtId="164" fontId="5" fillId="2" borderId="1" xfId="1" applyNumberFormat="1" applyFont="1" applyFill="1" applyBorder="1"/>
    <xf numFmtId="0" fontId="3" fillId="0" borderId="2" xfId="0" applyFont="1" applyBorder="1"/>
    <xf numFmtId="0" fontId="5" fillId="0" borderId="2" xfId="0" applyFont="1" applyBorder="1" applyAlignment="1">
      <alignment horizontal="right"/>
    </xf>
    <xf numFmtId="44" fontId="5" fillId="0" borderId="2" xfId="2" applyFont="1" applyBorder="1"/>
    <xf numFmtId="44" fontId="5" fillId="0" borderId="2" xfId="0" applyNumberFormat="1" applyFont="1" applyBorder="1"/>
    <xf numFmtId="44" fontId="5" fillId="2" borderId="3" xfId="0" applyNumberFormat="1" applyFont="1" applyFill="1" applyBorder="1"/>
    <xf numFmtId="0" fontId="3" fillId="2" borderId="0" xfId="0" applyFont="1" applyFill="1" applyBorder="1"/>
    <xf numFmtId="0" fontId="3" fillId="2" borderId="1" xfId="0" applyFont="1" applyFill="1" applyBorder="1"/>
    <xf numFmtId="0" fontId="7" fillId="3" borderId="0" xfId="0" applyFont="1" applyFill="1" applyAlignment="1">
      <alignment horizontal="center"/>
    </xf>
    <xf numFmtId="164" fontId="5" fillId="4" borderId="5" xfId="1" applyNumberFormat="1" applyFont="1" applyFill="1" applyBorder="1"/>
    <xf numFmtId="164" fontId="5" fillId="4" borderId="6" xfId="1" applyNumberFormat="1" applyFont="1" applyFill="1" applyBorder="1"/>
    <xf numFmtId="164" fontId="6" fillId="2" borderId="4" xfId="1" applyNumberFormat="1" applyFont="1" applyFill="1" applyBorder="1"/>
    <xf numFmtId="164" fontId="5" fillId="2" borderId="7" xfId="1" applyNumberFormat="1" applyFont="1" applyFill="1" applyBorder="1"/>
    <xf numFmtId="164" fontId="5" fillId="2" borderId="8" xfId="1" applyNumberFormat="1" applyFont="1" applyFill="1" applyBorder="1"/>
    <xf numFmtId="9" fontId="5" fillId="0" borderId="0" xfId="3" applyFont="1"/>
    <xf numFmtId="164" fontId="5" fillId="2" borderId="0" xfId="1" applyNumberFormat="1" applyFont="1" applyFill="1" applyBorder="1"/>
    <xf numFmtId="164" fontId="5" fillId="2" borderId="4" xfId="1" applyNumberFormat="1" applyFont="1" applyFill="1" applyBorder="1"/>
    <xf numFmtId="0" fontId="2" fillId="0" borderId="0" xfId="0" applyFont="1"/>
    <xf numFmtId="0" fontId="8" fillId="5" borderId="0" xfId="0" applyFont="1" applyFill="1"/>
    <xf numFmtId="164" fontId="6" fillId="2" borderId="0" xfId="1" applyNumberFormat="1" applyFont="1" applyFill="1" applyBorder="1"/>
    <xf numFmtId="164" fontId="5" fillId="2" borderId="10" xfId="1" applyNumberFormat="1" applyFont="1" applyFill="1" applyBorder="1"/>
    <xf numFmtId="164" fontId="5" fillId="2" borderId="9" xfId="1" applyNumberFormat="1" applyFont="1" applyFill="1" applyBorder="1"/>
    <xf numFmtId="164" fontId="5" fillId="0" borderId="0" xfId="1" applyNumberFormat="1" applyFont="1" applyAlignment="1">
      <alignment horizontal="right"/>
    </xf>
    <xf numFmtId="0" fontId="9" fillId="0" borderId="0" xfId="0" applyFont="1"/>
    <xf numFmtId="0" fontId="0" fillId="0" borderId="0" xfId="0" applyAlignment="1">
      <alignment horizontal="right"/>
    </xf>
    <xf numFmtId="164" fontId="5" fillId="2" borderId="2" xfId="1" applyNumberFormat="1" applyFont="1" applyFill="1" applyBorder="1"/>
    <xf numFmtId="164" fontId="5" fillId="2" borderId="3" xfId="1" applyNumberFormat="1" applyFont="1" applyFill="1" applyBorder="1"/>
    <xf numFmtId="164" fontId="5" fillId="2" borderId="11" xfId="1" applyNumberFormat="1" applyFont="1" applyFill="1" applyBorder="1"/>
    <xf numFmtId="164" fontId="5" fillId="2" borderId="12" xfId="1" applyNumberFormat="1" applyFont="1" applyFill="1" applyBorder="1"/>
    <xf numFmtId="166" fontId="5" fillId="2" borderId="2" xfId="0" applyNumberFormat="1" applyFont="1" applyFill="1" applyBorder="1"/>
    <xf numFmtId="166" fontId="5" fillId="2" borderId="3" xfId="0" applyNumberFormat="1" applyFont="1" applyFill="1" applyBorder="1"/>
    <xf numFmtId="9" fontId="5" fillId="0" borderId="0" xfId="3" applyFont="1" applyAlignment="1">
      <alignment horizontal="right"/>
    </xf>
    <xf numFmtId="164" fontId="5" fillId="0" borderId="5" xfId="1" applyNumberFormat="1" applyFont="1" applyBorder="1"/>
    <xf numFmtId="164" fontId="10" fillId="0" borderId="0" xfId="1" applyNumberFormat="1" applyFont="1" applyAlignment="1">
      <alignment horizontal="right"/>
    </xf>
    <xf numFmtId="164" fontId="5" fillId="0" borderId="0" xfId="1" applyNumberFormat="1" applyFont="1" applyBorder="1"/>
    <xf numFmtId="164" fontId="11" fillId="0" borderId="0" xfId="1" applyNumberFormat="1" applyFont="1" applyAlignment="1">
      <alignment horizontal="right"/>
    </xf>
    <xf numFmtId="9" fontId="11" fillId="0" borderId="0" xfId="3" applyFont="1" applyAlignment="1">
      <alignment horizontal="right"/>
    </xf>
    <xf numFmtId="164" fontId="5" fillId="0" borderId="13" xfId="1" applyNumberFormat="1" applyFont="1" applyBorder="1"/>
    <xf numFmtId="0" fontId="4" fillId="0" borderId="0" xfId="0" applyFont="1" applyFill="1" applyAlignment="1">
      <alignment horizontal="center"/>
    </xf>
    <xf numFmtId="0" fontId="0" fillId="2" borderId="0" xfId="0" applyFill="1"/>
    <xf numFmtId="164" fontId="5" fillId="2" borderId="13" xfId="1" applyNumberFormat="1" applyFont="1" applyFill="1" applyBorder="1"/>
    <xf numFmtId="164" fontId="5" fillId="2" borderId="5" xfId="1" applyNumberFormat="1" applyFont="1" applyFill="1" applyBorder="1"/>
    <xf numFmtId="164" fontId="5" fillId="0" borderId="2" xfId="1" applyNumberFormat="1" applyFont="1" applyBorder="1"/>
    <xf numFmtId="164" fontId="5" fillId="0" borderId="14" xfId="1" applyNumberFormat="1" applyFont="1" applyBorder="1"/>
    <xf numFmtId="164" fontId="5" fillId="0" borderId="11" xfId="1" applyNumberFormat="1" applyFont="1" applyBorder="1"/>
    <xf numFmtId="0" fontId="13" fillId="0" borderId="0" xfId="0" applyFont="1"/>
    <xf numFmtId="166" fontId="5" fillId="2" borderId="11" xfId="3" applyNumberFormat="1" applyFont="1" applyFill="1" applyBorder="1"/>
    <xf numFmtId="166" fontId="5" fillId="0" borderId="11" xfId="3" applyNumberFormat="1" applyFont="1" applyBorder="1"/>
    <xf numFmtId="166" fontId="5" fillId="2" borderId="14" xfId="1" applyNumberFormat="1" applyFont="1" applyFill="1" applyBorder="1"/>
    <xf numFmtId="166" fontId="5" fillId="0" borderId="14" xfId="1" applyNumberFormat="1" applyFont="1" applyBorder="1"/>
    <xf numFmtId="166" fontId="5" fillId="0" borderId="0" xfId="1" applyNumberFormat="1" applyFont="1" applyBorder="1"/>
    <xf numFmtId="166" fontId="5" fillId="2" borderId="0" xfId="1" applyNumberFormat="1" applyFont="1" applyFill="1" applyBorder="1"/>
    <xf numFmtId="165" fontId="5" fillId="0" borderId="0" xfId="1" applyNumberFormat="1" applyFont="1"/>
    <xf numFmtId="166" fontId="5" fillId="0" borderId="0" xfId="1" applyNumberFormat="1" applyFont="1"/>
    <xf numFmtId="166" fontId="5" fillId="0" borderId="5" xfId="1" applyNumberFormat="1" applyFont="1" applyBorder="1"/>
    <xf numFmtId="0" fontId="14" fillId="0" borderId="0" xfId="0" applyFont="1"/>
    <xf numFmtId="0" fontId="0" fillId="5" borderId="0" xfId="0" applyFill="1"/>
    <xf numFmtId="164" fontId="5" fillId="5" borderId="0" xfId="1" applyNumberFormat="1" applyFont="1" applyFill="1"/>
    <xf numFmtId="0" fontId="15" fillId="0" borderId="0" xfId="0" applyFont="1"/>
    <xf numFmtId="0" fontId="12" fillId="0" borderId="0" xfId="0" applyFont="1" applyAlignment="1">
      <alignment horizontal="center"/>
    </xf>
    <xf numFmtId="0" fontId="16" fillId="0" borderId="0" xfId="0" applyFont="1"/>
    <xf numFmtId="164" fontId="17" fillId="0" borderId="0" xfId="1" applyNumberFormat="1" applyFont="1" applyAlignment="1">
      <alignment horizontal="right"/>
    </xf>
    <xf numFmtId="166" fontId="5" fillId="0" borderId="11" xfId="1" applyNumberFormat="1" applyFont="1" applyBorder="1"/>
    <xf numFmtId="164" fontId="18" fillId="0" borderId="0" xfId="1" applyNumberFormat="1" applyFont="1" applyAlignment="1">
      <alignment horizontal="right"/>
    </xf>
    <xf numFmtId="0" fontId="19" fillId="0" borderId="0" xfId="0" applyFont="1"/>
    <xf numFmtId="0" fontId="0" fillId="0" borderId="13" xfId="0" applyBorder="1"/>
    <xf numFmtId="164" fontId="5" fillId="0" borderId="13" xfId="1" applyNumberFormat="1" applyFont="1" applyBorder="1" applyAlignment="1">
      <alignment horizontal="right"/>
    </xf>
    <xf numFmtId="166" fontId="5" fillId="0" borderId="13" xfId="1" applyNumberFormat="1" applyFont="1" applyBorder="1"/>
    <xf numFmtId="0" fontId="20" fillId="0" borderId="0" xfId="0" applyFont="1"/>
    <xf numFmtId="0" fontId="21" fillId="0" borderId="0" xfId="0" applyFont="1"/>
    <xf numFmtId="0" fontId="22" fillId="0" borderId="0" xfId="0" applyFont="1"/>
    <xf numFmtId="166" fontId="21" fillId="0" borderId="0" xfId="0" applyNumberFormat="1" applyFont="1"/>
    <xf numFmtId="164" fontId="21" fillId="0" borderId="0" xfId="1" applyNumberFormat="1" applyFont="1"/>
    <xf numFmtId="0" fontId="20" fillId="0" borderId="0" xfId="0" applyFont="1" applyAlignment="1">
      <alignment horizontal="left" indent="2"/>
    </xf>
    <xf numFmtId="0" fontId="23" fillId="0" borderId="0" xfId="0" applyFont="1" applyAlignment="1">
      <alignment horizontal="left" indent="2"/>
    </xf>
    <xf numFmtId="166" fontId="21" fillId="0" borderId="11" xfId="0" applyNumberFormat="1" applyFont="1" applyBorder="1"/>
    <xf numFmtId="166" fontId="21" fillId="0" borderId="5" xfId="0" applyNumberFormat="1" applyFont="1" applyBorder="1"/>
    <xf numFmtId="166" fontId="21" fillId="0" borderId="0" xfId="0" applyNumberFormat="1" applyFont="1" applyBorder="1"/>
    <xf numFmtId="0" fontId="24" fillId="0" borderId="0" xfId="0" applyFont="1"/>
    <xf numFmtId="9" fontId="2" fillId="0" borderId="0" xfId="3" applyFont="1"/>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Break-even Chart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1"/>
          <c:order val="0"/>
          <c:tx>
            <c:strRef>
              <c:f>'Q4'!$C$34:$C$36</c:f>
              <c:strCache>
                <c:ptCount val="3"/>
                <c:pt idx="0">
                  <c:v>Fixed cost</c:v>
                </c:pt>
                <c:pt idx="1">
                  <c:v>FC</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'Q4'!$B$37:$B$47</c:f>
              <c:numCache>
                <c:formatCode>General</c:formatCode>
                <c:ptCount val="11"/>
                <c:pt idx="0">
                  <c:v>0</c:v>
                </c:pt>
                <c:pt idx="1">
                  <c:v>5</c:v>
                </c:pt>
                <c:pt idx="2">
                  <c:v>10</c:v>
                </c:pt>
                <c:pt idx="3">
                  <c:v>15</c:v>
                </c:pt>
                <c:pt idx="4">
                  <c:v>20</c:v>
                </c:pt>
                <c:pt idx="5">
                  <c:v>25</c:v>
                </c:pt>
                <c:pt idx="6">
                  <c:v>30</c:v>
                </c:pt>
                <c:pt idx="7">
                  <c:v>35</c:v>
                </c:pt>
                <c:pt idx="8">
                  <c:v>40</c:v>
                </c:pt>
                <c:pt idx="9">
                  <c:v>45</c:v>
                </c:pt>
                <c:pt idx="10">
                  <c:v>50</c:v>
                </c:pt>
              </c:numCache>
            </c:numRef>
          </c:cat>
          <c:val>
            <c:numRef>
              <c:f>'Q4'!$C$37:$C$47</c:f>
              <c:numCache>
                <c:formatCode>General</c:formatCode>
                <c:ptCount val="11"/>
                <c:pt idx="0">
                  <c:v>800</c:v>
                </c:pt>
                <c:pt idx="1">
                  <c:v>800</c:v>
                </c:pt>
                <c:pt idx="2">
                  <c:v>800</c:v>
                </c:pt>
                <c:pt idx="3">
                  <c:v>800</c:v>
                </c:pt>
                <c:pt idx="4">
                  <c:v>800</c:v>
                </c:pt>
                <c:pt idx="5">
                  <c:v>800</c:v>
                </c:pt>
                <c:pt idx="6">
                  <c:v>800</c:v>
                </c:pt>
                <c:pt idx="7">
                  <c:v>800</c:v>
                </c:pt>
                <c:pt idx="8">
                  <c:v>800</c:v>
                </c:pt>
                <c:pt idx="9">
                  <c:v>800</c:v>
                </c:pt>
                <c:pt idx="10">
                  <c:v>800</c:v>
                </c:pt>
              </c:numCache>
            </c:numRef>
          </c:val>
          <c:smooth val="0"/>
          <c:extLst>
            <c:ext xmlns:c16="http://schemas.microsoft.com/office/drawing/2014/chart" uri="{C3380CC4-5D6E-409C-BE32-E72D297353CC}">
              <c16:uniqueId val="{00000001-F6E9-49D7-8EF8-8FBC9AE77D57}"/>
            </c:ext>
          </c:extLst>
        </c:ser>
        <c:ser>
          <c:idx val="2"/>
          <c:order val="1"/>
          <c:tx>
            <c:strRef>
              <c:f>'Q4'!$D$34:$D$36</c:f>
              <c:strCache>
                <c:ptCount val="3"/>
                <c:pt idx="0">
                  <c:v>Variable cost</c:v>
                </c:pt>
                <c:pt idx="1">
                  <c:v>VC</c:v>
                </c:pt>
                <c:pt idx="2">
                  <c:v>Units*VC</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'Q4'!$B$37:$B$47</c:f>
              <c:numCache>
                <c:formatCode>General</c:formatCode>
                <c:ptCount val="11"/>
                <c:pt idx="0">
                  <c:v>0</c:v>
                </c:pt>
                <c:pt idx="1">
                  <c:v>5</c:v>
                </c:pt>
                <c:pt idx="2">
                  <c:v>10</c:v>
                </c:pt>
                <c:pt idx="3">
                  <c:v>15</c:v>
                </c:pt>
                <c:pt idx="4">
                  <c:v>20</c:v>
                </c:pt>
                <c:pt idx="5">
                  <c:v>25</c:v>
                </c:pt>
                <c:pt idx="6">
                  <c:v>30</c:v>
                </c:pt>
                <c:pt idx="7">
                  <c:v>35</c:v>
                </c:pt>
                <c:pt idx="8">
                  <c:v>40</c:v>
                </c:pt>
                <c:pt idx="9">
                  <c:v>45</c:v>
                </c:pt>
                <c:pt idx="10">
                  <c:v>50</c:v>
                </c:pt>
              </c:numCache>
            </c:numRef>
          </c:cat>
          <c:val>
            <c:numRef>
              <c:f>'Q4'!$D$37:$D$47</c:f>
              <c:numCache>
                <c:formatCode>_-[$£-809]* #,##0_-;\-[$£-809]* #,##0_-;_-[$£-809]* "-"??_-;_-@_-</c:formatCode>
                <c:ptCount val="11"/>
                <c:pt idx="0">
                  <c:v>0</c:v>
                </c:pt>
                <c:pt idx="1">
                  <c:v>200</c:v>
                </c:pt>
                <c:pt idx="2">
                  <c:v>400</c:v>
                </c:pt>
                <c:pt idx="3">
                  <c:v>600</c:v>
                </c:pt>
                <c:pt idx="4">
                  <c:v>800</c:v>
                </c:pt>
                <c:pt idx="5">
                  <c:v>1000</c:v>
                </c:pt>
                <c:pt idx="6">
                  <c:v>1200</c:v>
                </c:pt>
                <c:pt idx="7">
                  <c:v>1400</c:v>
                </c:pt>
                <c:pt idx="8">
                  <c:v>1600</c:v>
                </c:pt>
                <c:pt idx="9">
                  <c:v>1800</c:v>
                </c:pt>
                <c:pt idx="10">
                  <c:v>2000</c:v>
                </c:pt>
              </c:numCache>
            </c:numRef>
          </c:val>
          <c:smooth val="0"/>
          <c:extLst>
            <c:ext xmlns:c16="http://schemas.microsoft.com/office/drawing/2014/chart" uri="{C3380CC4-5D6E-409C-BE32-E72D297353CC}">
              <c16:uniqueId val="{00000002-F6E9-49D7-8EF8-8FBC9AE77D57}"/>
            </c:ext>
          </c:extLst>
        </c:ser>
        <c:ser>
          <c:idx val="3"/>
          <c:order val="2"/>
          <c:tx>
            <c:strRef>
              <c:f>'Q4'!$E$34:$E$36</c:f>
              <c:strCache>
                <c:ptCount val="3"/>
                <c:pt idx="0">
                  <c:v>Total cost</c:v>
                </c:pt>
                <c:pt idx="1">
                  <c:v>TC</c:v>
                </c:pt>
                <c:pt idx="2">
                  <c:v>FC+VC</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'Q4'!$B$37:$B$47</c:f>
              <c:numCache>
                <c:formatCode>General</c:formatCode>
                <c:ptCount val="11"/>
                <c:pt idx="0">
                  <c:v>0</c:v>
                </c:pt>
                <c:pt idx="1">
                  <c:v>5</c:v>
                </c:pt>
                <c:pt idx="2">
                  <c:v>10</c:v>
                </c:pt>
                <c:pt idx="3">
                  <c:v>15</c:v>
                </c:pt>
                <c:pt idx="4">
                  <c:v>20</c:v>
                </c:pt>
                <c:pt idx="5">
                  <c:v>25</c:v>
                </c:pt>
                <c:pt idx="6">
                  <c:v>30</c:v>
                </c:pt>
                <c:pt idx="7">
                  <c:v>35</c:v>
                </c:pt>
                <c:pt idx="8">
                  <c:v>40</c:v>
                </c:pt>
                <c:pt idx="9">
                  <c:v>45</c:v>
                </c:pt>
                <c:pt idx="10">
                  <c:v>50</c:v>
                </c:pt>
              </c:numCache>
            </c:numRef>
          </c:cat>
          <c:val>
            <c:numRef>
              <c:f>'Q4'!$E$37:$E$47</c:f>
              <c:numCache>
                <c:formatCode>_-[$£-809]* #,##0_-;\-[$£-809]* #,##0_-;_-[$£-809]* "-"??_-;_-@_-</c:formatCode>
                <c:ptCount val="11"/>
                <c:pt idx="0">
                  <c:v>800</c:v>
                </c:pt>
                <c:pt idx="1">
                  <c:v>1000</c:v>
                </c:pt>
                <c:pt idx="2">
                  <c:v>1200</c:v>
                </c:pt>
                <c:pt idx="3">
                  <c:v>1400</c:v>
                </c:pt>
                <c:pt idx="4">
                  <c:v>1600</c:v>
                </c:pt>
                <c:pt idx="5">
                  <c:v>1800</c:v>
                </c:pt>
                <c:pt idx="6">
                  <c:v>2000</c:v>
                </c:pt>
                <c:pt idx="7">
                  <c:v>2200</c:v>
                </c:pt>
                <c:pt idx="8">
                  <c:v>2400</c:v>
                </c:pt>
                <c:pt idx="9">
                  <c:v>2600</c:v>
                </c:pt>
                <c:pt idx="10">
                  <c:v>2800</c:v>
                </c:pt>
              </c:numCache>
            </c:numRef>
          </c:val>
          <c:smooth val="0"/>
          <c:extLst>
            <c:ext xmlns:c16="http://schemas.microsoft.com/office/drawing/2014/chart" uri="{C3380CC4-5D6E-409C-BE32-E72D297353CC}">
              <c16:uniqueId val="{00000003-F6E9-49D7-8EF8-8FBC9AE77D57}"/>
            </c:ext>
          </c:extLst>
        </c:ser>
        <c:ser>
          <c:idx val="4"/>
          <c:order val="3"/>
          <c:tx>
            <c:strRef>
              <c:f>'Q4'!$F$34:$F$36</c:f>
              <c:strCache>
                <c:ptCount val="3"/>
                <c:pt idx="0">
                  <c:v>Revenue</c:v>
                </c:pt>
                <c:pt idx="1">
                  <c:v>R</c:v>
                </c:pt>
                <c:pt idx="2">
                  <c:v>Units*SP</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'Q4'!$B$37:$B$47</c:f>
              <c:numCache>
                <c:formatCode>General</c:formatCode>
                <c:ptCount val="11"/>
                <c:pt idx="0">
                  <c:v>0</c:v>
                </c:pt>
                <c:pt idx="1">
                  <c:v>5</c:v>
                </c:pt>
                <c:pt idx="2">
                  <c:v>10</c:v>
                </c:pt>
                <c:pt idx="3">
                  <c:v>15</c:v>
                </c:pt>
                <c:pt idx="4">
                  <c:v>20</c:v>
                </c:pt>
                <c:pt idx="5">
                  <c:v>25</c:v>
                </c:pt>
                <c:pt idx="6">
                  <c:v>30</c:v>
                </c:pt>
                <c:pt idx="7">
                  <c:v>35</c:v>
                </c:pt>
                <c:pt idx="8">
                  <c:v>40</c:v>
                </c:pt>
                <c:pt idx="9">
                  <c:v>45</c:v>
                </c:pt>
                <c:pt idx="10">
                  <c:v>50</c:v>
                </c:pt>
              </c:numCache>
            </c:numRef>
          </c:cat>
          <c:val>
            <c:numRef>
              <c:f>'Q4'!$F$37:$F$47</c:f>
              <c:numCache>
                <c:formatCode>_-[$£-809]* #,##0_-;\-[$£-809]* #,##0_-;_-[$£-809]* "-"??_-;_-@_-</c:formatCode>
                <c:ptCount val="11"/>
                <c:pt idx="0">
                  <c:v>0</c:v>
                </c:pt>
                <c:pt idx="1">
                  <c:v>400</c:v>
                </c:pt>
                <c:pt idx="2">
                  <c:v>800</c:v>
                </c:pt>
                <c:pt idx="3">
                  <c:v>1200</c:v>
                </c:pt>
                <c:pt idx="4">
                  <c:v>1600</c:v>
                </c:pt>
                <c:pt idx="5">
                  <c:v>2000</c:v>
                </c:pt>
                <c:pt idx="6">
                  <c:v>2400</c:v>
                </c:pt>
                <c:pt idx="7">
                  <c:v>2800</c:v>
                </c:pt>
                <c:pt idx="8">
                  <c:v>3200</c:v>
                </c:pt>
                <c:pt idx="9">
                  <c:v>3600</c:v>
                </c:pt>
                <c:pt idx="10">
                  <c:v>4000</c:v>
                </c:pt>
              </c:numCache>
            </c:numRef>
          </c:val>
          <c:smooth val="0"/>
          <c:extLst>
            <c:ext xmlns:c16="http://schemas.microsoft.com/office/drawing/2014/chart" uri="{C3380CC4-5D6E-409C-BE32-E72D297353CC}">
              <c16:uniqueId val="{00000004-F6E9-49D7-8EF8-8FBC9AE77D57}"/>
            </c:ext>
          </c:extLst>
        </c:ser>
        <c:ser>
          <c:idx val="5"/>
          <c:order val="4"/>
          <c:tx>
            <c:strRef>
              <c:f>'Q4'!$G$34:$G$36</c:f>
              <c:strCache>
                <c:ptCount val="3"/>
                <c:pt idx="0">
                  <c:v>Profit</c:v>
                </c:pt>
                <c:pt idx="1">
                  <c:v>P</c:v>
                </c:pt>
                <c:pt idx="2">
                  <c:v>R-TC</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cat>
            <c:numRef>
              <c:f>'Q4'!$B$37:$B$47</c:f>
              <c:numCache>
                <c:formatCode>General</c:formatCode>
                <c:ptCount val="11"/>
                <c:pt idx="0">
                  <c:v>0</c:v>
                </c:pt>
                <c:pt idx="1">
                  <c:v>5</c:v>
                </c:pt>
                <c:pt idx="2">
                  <c:v>10</c:v>
                </c:pt>
                <c:pt idx="3">
                  <c:v>15</c:v>
                </c:pt>
                <c:pt idx="4">
                  <c:v>20</c:v>
                </c:pt>
                <c:pt idx="5">
                  <c:v>25</c:v>
                </c:pt>
                <c:pt idx="6">
                  <c:v>30</c:v>
                </c:pt>
                <c:pt idx="7">
                  <c:v>35</c:v>
                </c:pt>
                <c:pt idx="8">
                  <c:v>40</c:v>
                </c:pt>
                <c:pt idx="9">
                  <c:v>45</c:v>
                </c:pt>
                <c:pt idx="10">
                  <c:v>50</c:v>
                </c:pt>
              </c:numCache>
            </c:numRef>
          </c:cat>
          <c:val>
            <c:numRef>
              <c:f>'Q4'!$G$37:$G$47</c:f>
              <c:numCache>
                <c:formatCode>_-[$£-809]* #,##0_-;\-[$£-809]* #,##0_-;_-[$£-809]* "-"??_-;_-@_-</c:formatCode>
                <c:ptCount val="11"/>
                <c:pt idx="0">
                  <c:v>-800</c:v>
                </c:pt>
                <c:pt idx="1">
                  <c:v>-600</c:v>
                </c:pt>
                <c:pt idx="2">
                  <c:v>-400</c:v>
                </c:pt>
                <c:pt idx="3">
                  <c:v>-200</c:v>
                </c:pt>
                <c:pt idx="4">
                  <c:v>0</c:v>
                </c:pt>
                <c:pt idx="5">
                  <c:v>200</c:v>
                </c:pt>
                <c:pt idx="6">
                  <c:v>400</c:v>
                </c:pt>
                <c:pt idx="7">
                  <c:v>600</c:v>
                </c:pt>
                <c:pt idx="8">
                  <c:v>800</c:v>
                </c:pt>
                <c:pt idx="9">
                  <c:v>1000</c:v>
                </c:pt>
                <c:pt idx="10">
                  <c:v>1200</c:v>
                </c:pt>
              </c:numCache>
            </c:numRef>
          </c:val>
          <c:smooth val="0"/>
          <c:extLst>
            <c:ext xmlns:c16="http://schemas.microsoft.com/office/drawing/2014/chart" uri="{C3380CC4-5D6E-409C-BE32-E72D297353CC}">
              <c16:uniqueId val="{00000005-F6E9-49D7-8EF8-8FBC9AE77D57}"/>
            </c:ext>
          </c:extLst>
        </c:ser>
        <c:dLbls>
          <c:showLegendKey val="0"/>
          <c:showVal val="0"/>
          <c:showCatName val="0"/>
          <c:showSerName val="0"/>
          <c:showPercent val="0"/>
          <c:showBubbleSize val="0"/>
        </c:dLbls>
        <c:marker val="1"/>
        <c:smooth val="0"/>
        <c:axId val="259596224"/>
        <c:axId val="259594912"/>
      </c:lineChart>
      <c:catAx>
        <c:axId val="2595962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9594912"/>
        <c:crosses val="autoZero"/>
        <c:auto val="1"/>
        <c:lblAlgn val="ctr"/>
        <c:lblOffset val="100"/>
        <c:noMultiLvlLbl val="0"/>
      </c:catAx>
      <c:valAx>
        <c:axId val="25959491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9596224"/>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tx2">
        <a:lumMod val="20000"/>
        <a:lumOff val="80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19049</xdr:colOff>
      <xdr:row>48</xdr:row>
      <xdr:rowOff>19050</xdr:rowOff>
    </xdr:from>
    <xdr:to>
      <xdr:col>9</xdr:col>
      <xdr:colOff>590550</xdr:colOff>
      <xdr:row>65</xdr:row>
      <xdr:rowOff>142875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38099</xdr:colOff>
      <xdr:row>1</xdr:row>
      <xdr:rowOff>47625</xdr:rowOff>
    </xdr:from>
    <xdr:to>
      <xdr:col>9</xdr:col>
      <xdr:colOff>190500</xdr:colOff>
      <xdr:row>10</xdr:row>
      <xdr:rowOff>114300</xdr:rowOff>
    </xdr:to>
    <xdr:sp macro="" textlink="">
      <xdr:nvSpPr>
        <xdr:cNvPr id="2" name="TextBox 1"/>
        <xdr:cNvSpPr txBox="1"/>
      </xdr:nvSpPr>
      <xdr:spPr>
        <a:xfrm>
          <a:off x="38099" y="276225"/>
          <a:ext cx="5638801" cy="1781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latin typeface="Arial" panose="020B0604020202020204" pitchFamily="34" charset="0"/>
              <a:cs typeface="Arial" panose="020B0604020202020204" pitchFamily="34" charset="0"/>
            </a:rPr>
            <a:t>Inflation creates</a:t>
          </a:r>
          <a:r>
            <a:rPr lang="en-US" sz="1200" baseline="0">
              <a:latin typeface="Arial" panose="020B0604020202020204" pitchFamily="34" charset="0"/>
              <a:cs typeface="Arial" panose="020B0604020202020204" pitchFamily="34" charset="0"/>
            </a:rPr>
            <a:t> difference in the amounts budgeted and the actual amounts due to an increase in cost of materials and selling prices. An increase in taxation, interest rate, and exchange rate results to an increase in price of commodities; this results to sales price variance, and material cost variance. Competitors can decide to lower price of commodities, thereby, affecting sales revenue. Change in purchase cost by suppliers affects the budgeted costs. Change in customers taste and preference affects quantity sold. Uncertainty across the glob affects budgeted amounts incase the business operates overseas. </a:t>
          </a:r>
          <a:endParaRPr lang="en-US" sz="120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6"/>
  <sheetViews>
    <sheetView topLeftCell="A59" workbookViewId="0">
      <selection activeCell="A71" sqref="A71:XFD145"/>
    </sheetView>
  </sheetViews>
  <sheetFormatPr defaultRowHeight="15" x14ac:dyDescent="0.25"/>
  <cols>
    <col min="1" max="1" width="14.5703125" customWidth="1"/>
    <col min="3" max="3" width="11.5703125" bestFit="1" customWidth="1"/>
    <col min="4" max="4" width="12.7109375" customWidth="1"/>
    <col min="5" max="5" width="20" customWidth="1"/>
    <col min="6" max="6" width="21.28515625" customWidth="1"/>
    <col min="7" max="7" width="16.7109375" customWidth="1"/>
    <col min="8" max="8" width="15.5703125" bestFit="1" customWidth="1"/>
    <col min="9" max="9" width="13" customWidth="1"/>
    <col min="10" max="10" width="14.5703125" customWidth="1"/>
  </cols>
  <sheetData>
    <row r="2" spans="1:10" ht="18.75" x14ac:dyDescent="0.3">
      <c r="A2" s="32" t="s">
        <v>5</v>
      </c>
    </row>
    <row r="3" spans="1:10" ht="15.75" x14ac:dyDescent="0.25">
      <c r="A3" s="1"/>
      <c r="B3" s="2"/>
      <c r="C3" s="3"/>
      <c r="D3" s="3" t="s">
        <v>19</v>
      </c>
      <c r="E3" s="4" t="s">
        <v>0</v>
      </c>
      <c r="F3" s="4" t="s">
        <v>6</v>
      </c>
      <c r="G3" s="4" t="s">
        <v>7</v>
      </c>
      <c r="H3" s="5" t="s">
        <v>1</v>
      </c>
      <c r="I3" s="5"/>
      <c r="J3" s="5" t="s">
        <v>8</v>
      </c>
    </row>
    <row r="4" spans="1:10" ht="15.75" x14ac:dyDescent="0.25">
      <c r="A4" s="1"/>
      <c r="B4" s="6" t="s">
        <v>9</v>
      </c>
      <c r="C4" s="7"/>
      <c r="D4" s="7"/>
      <c r="E4" s="8">
        <v>500</v>
      </c>
      <c r="F4" s="8">
        <v>3000</v>
      </c>
      <c r="G4" s="8">
        <v>2000</v>
      </c>
      <c r="H4" s="9">
        <v>1000</v>
      </c>
      <c r="I4" s="9"/>
      <c r="J4" s="9">
        <f>SUM(E4:H4)</f>
        <v>6500</v>
      </c>
    </row>
    <row r="5" spans="1:10" ht="15.75" x14ac:dyDescent="0.25">
      <c r="A5" s="10"/>
      <c r="B5" s="11" t="s">
        <v>10</v>
      </c>
      <c r="C5" s="12"/>
      <c r="D5" s="13"/>
      <c r="E5" s="38">
        <v>300</v>
      </c>
      <c r="F5" s="38">
        <f>+E5</f>
        <v>300</v>
      </c>
      <c r="G5" s="38">
        <f>+F5</f>
        <v>300</v>
      </c>
      <c r="H5" s="39">
        <f>+G5</f>
        <v>300</v>
      </c>
      <c r="I5" s="39"/>
      <c r="J5" s="14"/>
    </row>
    <row r="6" spans="1:10" ht="15.75" x14ac:dyDescent="0.25">
      <c r="A6" s="1"/>
      <c r="B6" s="6" t="s">
        <v>11</v>
      </c>
      <c r="C6" s="7"/>
      <c r="D6" s="7"/>
      <c r="E6" s="8">
        <f>+E5*E4</f>
        <v>150000</v>
      </c>
      <c r="F6" s="8">
        <f>+F5*F4</f>
        <v>900000</v>
      </c>
      <c r="G6" s="8">
        <f>+G5*G4</f>
        <v>600000</v>
      </c>
      <c r="H6" s="9">
        <f>+H5*H4</f>
        <v>300000</v>
      </c>
      <c r="I6" s="9"/>
      <c r="J6" s="9">
        <f>SUM(E6:H6)</f>
        <v>1950000</v>
      </c>
    </row>
    <row r="7" spans="1:10" ht="15.75" x14ac:dyDescent="0.25">
      <c r="A7" s="1"/>
      <c r="B7" s="2"/>
      <c r="C7" s="1"/>
      <c r="D7" s="1"/>
      <c r="E7" s="15"/>
      <c r="F7" s="15"/>
      <c r="G7" s="15"/>
      <c r="H7" s="16"/>
      <c r="I7" s="16"/>
      <c r="J7" s="16"/>
    </row>
    <row r="8" spans="1:10" ht="15.75" x14ac:dyDescent="0.25">
      <c r="A8" s="7" t="s">
        <v>12</v>
      </c>
      <c r="B8" s="7"/>
      <c r="C8" s="7"/>
      <c r="D8" s="17"/>
      <c r="E8" s="18"/>
      <c r="F8" s="18"/>
      <c r="G8" s="18"/>
      <c r="H8" s="19"/>
      <c r="I8" s="19"/>
      <c r="J8" s="19"/>
    </row>
    <row r="9" spans="1:10" ht="15.75" x14ac:dyDescent="0.25">
      <c r="A9" s="7" t="s">
        <v>13</v>
      </c>
      <c r="B9" s="7"/>
      <c r="C9" s="7"/>
      <c r="D9" s="7">
        <v>10000</v>
      </c>
      <c r="E9" s="20"/>
      <c r="F9" s="20">
        <f>0.833333333333333*E8</f>
        <v>0</v>
      </c>
      <c r="G9" s="21"/>
      <c r="H9" s="22"/>
      <c r="I9" s="22"/>
      <c r="J9" s="22"/>
    </row>
    <row r="10" spans="1:10" ht="15.75" x14ac:dyDescent="0.25">
      <c r="A10" s="7" t="s">
        <v>14</v>
      </c>
      <c r="B10" s="7"/>
      <c r="C10" s="7"/>
      <c r="D10" s="7"/>
      <c r="E10" s="28"/>
      <c r="F10" s="28"/>
      <c r="G10" s="24"/>
      <c r="H10" s="9"/>
      <c r="I10" s="9"/>
      <c r="J10" s="9"/>
    </row>
    <row r="11" spans="1:10" ht="15.75" x14ac:dyDescent="0.25">
      <c r="A11" s="7"/>
      <c r="B11" s="23">
        <v>0.6</v>
      </c>
      <c r="C11" s="7" t="s">
        <v>2</v>
      </c>
      <c r="D11" s="7"/>
      <c r="E11" s="8">
        <f>D9+(B11*E6)</f>
        <v>100000</v>
      </c>
      <c r="F11" s="8">
        <f>$B$11*F6</f>
        <v>540000</v>
      </c>
      <c r="G11" s="8">
        <f>$B$11*G6</f>
        <v>360000</v>
      </c>
      <c r="H11" s="8">
        <f>$B$11*H6</f>
        <v>180000</v>
      </c>
      <c r="I11" s="8"/>
      <c r="J11" s="29"/>
    </row>
    <row r="12" spans="1:10" ht="15.75" x14ac:dyDescent="0.25">
      <c r="A12" s="7"/>
      <c r="B12" s="23">
        <v>0.4</v>
      </c>
      <c r="C12" s="7" t="s">
        <v>3</v>
      </c>
      <c r="D12" s="7"/>
      <c r="E12" s="24"/>
      <c r="F12" s="24">
        <f>$B$12*E6</f>
        <v>60000</v>
      </c>
      <c r="G12" s="24">
        <f>$B$12*F6</f>
        <v>360000</v>
      </c>
      <c r="H12" s="24">
        <f>$B$12*G6</f>
        <v>240000</v>
      </c>
      <c r="I12" s="24"/>
      <c r="J12" s="30"/>
    </row>
    <row r="13" spans="1:10" ht="15.75" x14ac:dyDescent="0.25">
      <c r="A13" s="7"/>
      <c r="B13" s="31" t="s">
        <v>15</v>
      </c>
      <c r="C13" s="7" t="s">
        <v>4</v>
      </c>
      <c r="D13" s="7"/>
      <c r="E13" s="25">
        <f>SUM(E11:E12)</f>
        <v>100000</v>
      </c>
      <c r="F13" s="25">
        <f>SUM(F11:F12)</f>
        <v>600000</v>
      </c>
      <c r="G13" s="25">
        <f>SUM(G11:G12)</f>
        <v>720000</v>
      </c>
      <c r="H13" s="25">
        <f>SUM(H11:H12)</f>
        <v>420000</v>
      </c>
      <c r="I13" s="21"/>
      <c r="J13" s="22">
        <f>SUM(E13:H13)</f>
        <v>1840000</v>
      </c>
    </row>
    <row r="16" spans="1:10" s="27" customFormat="1" x14ac:dyDescent="0.25"/>
    <row r="18" spans="1:10" ht="18.75" x14ac:dyDescent="0.3">
      <c r="A18" s="32" t="s">
        <v>22</v>
      </c>
    </row>
    <row r="19" spans="1:10" ht="15.75" x14ac:dyDescent="0.25">
      <c r="E19" s="4" t="s">
        <v>0</v>
      </c>
      <c r="F19" s="4" t="s">
        <v>6</v>
      </c>
      <c r="G19" s="4" t="s">
        <v>7</v>
      </c>
      <c r="H19" s="5" t="s">
        <v>1</v>
      </c>
      <c r="I19" s="5"/>
      <c r="J19" s="5" t="s">
        <v>8</v>
      </c>
    </row>
    <row r="20" spans="1:10" ht="15.75" x14ac:dyDescent="0.25">
      <c r="D20" s="31" t="s">
        <v>16</v>
      </c>
      <c r="E20" s="8">
        <f>E4</f>
        <v>500</v>
      </c>
      <c r="F20" s="8">
        <f>F4</f>
        <v>3000</v>
      </c>
      <c r="G20" s="8">
        <f>G4</f>
        <v>2000</v>
      </c>
      <c r="H20" s="9">
        <f>H4</f>
        <v>1000</v>
      </c>
      <c r="I20" s="9"/>
      <c r="J20" s="9"/>
    </row>
    <row r="21" spans="1:10" ht="15.75" x14ac:dyDescent="0.25">
      <c r="D21" s="31" t="s">
        <v>17</v>
      </c>
      <c r="E21" s="34">
        <f>25%*F20</f>
        <v>750</v>
      </c>
      <c r="F21" s="34">
        <f>25%*G20</f>
        <v>500</v>
      </c>
      <c r="G21" s="34">
        <f>25%*H20</f>
        <v>250</v>
      </c>
      <c r="H21" s="35">
        <v>15</v>
      </c>
      <c r="I21" s="35"/>
      <c r="J21" s="14"/>
    </row>
    <row r="22" spans="1:10" ht="15.75" x14ac:dyDescent="0.25">
      <c r="D22" s="31" t="s">
        <v>18</v>
      </c>
      <c r="E22" s="8">
        <f>SUM(E20:E21)</f>
        <v>1250</v>
      </c>
      <c r="F22" s="8">
        <f>SUM(F20:F21)</f>
        <v>3500</v>
      </c>
      <c r="G22" s="8">
        <f>SUM(G20:G21)</f>
        <v>2250</v>
      </c>
      <c r="H22" s="9">
        <f>SUM(H20:H21)</f>
        <v>1015</v>
      </c>
      <c r="I22" s="9"/>
      <c r="J22" s="9"/>
    </row>
    <row r="23" spans="1:10" ht="15.75" x14ac:dyDescent="0.25">
      <c r="D23" s="31" t="s">
        <v>20</v>
      </c>
      <c r="E23" s="34">
        <v>15</v>
      </c>
      <c r="F23" s="34">
        <f>E21</f>
        <v>750</v>
      </c>
      <c r="G23" s="34">
        <f>F21</f>
        <v>500</v>
      </c>
      <c r="H23" s="35">
        <f>G21</f>
        <v>250</v>
      </c>
      <c r="I23" s="35"/>
      <c r="J23" s="14"/>
    </row>
    <row r="24" spans="1:10" ht="16.5" thickBot="1" x14ac:dyDescent="0.3">
      <c r="D24" s="31" t="s">
        <v>21</v>
      </c>
      <c r="E24" s="36">
        <f>E22-E23</f>
        <v>1235</v>
      </c>
      <c r="F24" s="36">
        <f>F22-F23</f>
        <v>2750</v>
      </c>
      <c r="G24" s="36">
        <f>G22-G23</f>
        <v>1750</v>
      </c>
      <c r="H24" s="37">
        <f>H22-H23</f>
        <v>765</v>
      </c>
      <c r="I24" s="37"/>
      <c r="J24" s="37">
        <f>SUM(E24:H24)</f>
        <v>6500</v>
      </c>
    </row>
    <row r="25" spans="1:10" ht="16.5" thickTop="1" x14ac:dyDescent="0.25">
      <c r="D25" s="7"/>
    </row>
    <row r="26" spans="1:10" x14ac:dyDescent="0.25">
      <c r="D26" s="3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topLeftCell="A43" workbookViewId="0">
      <selection activeCell="D38" sqref="D38"/>
    </sheetView>
  </sheetViews>
  <sheetFormatPr defaultRowHeight="15" x14ac:dyDescent="0.25"/>
  <cols>
    <col min="5" max="10" width="15" customWidth="1"/>
  </cols>
  <sheetData>
    <row r="1" spans="1:10" s="27" customFormat="1" x14ac:dyDescent="0.25"/>
    <row r="2" spans="1:10" ht="21" x14ac:dyDescent="0.35">
      <c r="A2" s="54" t="s">
        <v>48</v>
      </c>
    </row>
    <row r="3" spans="1:10" ht="18.75" x14ac:dyDescent="0.3">
      <c r="A3" s="32" t="s">
        <v>23</v>
      </c>
    </row>
    <row r="4" spans="1:10" ht="18.75" x14ac:dyDescent="0.3">
      <c r="A4" s="32"/>
      <c r="E4" s="4" t="s">
        <v>0</v>
      </c>
      <c r="F4" s="4" t="s">
        <v>6</v>
      </c>
      <c r="G4" s="4" t="s">
        <v>7</v>
      </c>
      <c r="H4" s="5" t="s">
        <v>1</v>
      </c>
      <c r="I4" s="5" t="s">
        <v>27</v>
      </c>
    </row>
    <row r="5" spans="1:10" ht="18.75" x14ac:dyDescent="0.3">
      <c r="A5" s="32"/>
      <c r="D5" s="31" t="s">
        <v>26</v>
      </c>
      <c r="E5" s="7">
        <v>150000</v>
      </c>
      <c r="F5" s="7">
        <v>160000</v>
      </c>
      <c r="G5" s="7">
        <v>90000</v>
      </c>
      <c r="H5" s="7">
        <v>210000</v>
      </c>
      <c r="I5" s="7">
        <v>250000</v>
      </c>
      <c r="J5" s="7"/>
    </row>
    <row r="6" spans="1:10" ht="18.75" x14ac:dyDescent="0.3">
      <c r="A6" s="32"/>
      <c r="D6" s="31" t="s">
        <v>33</v>
      </c>
      <c r="E6" s="7">
        <v>80000</v>
      </c>
      <c r="F6" s="7">
        <v>90000</v>
      </c>
      <c r="G6" s="7">
        <v>120000</v>
      </c>
      <c r="H6" s="7">
        <v>75000</v>
      </c>
      <c r="I6" s="7">
        <v>90000</v>
      </c>
      <c r="J6" s="7"/>
    </row>
    <row r="7" spans="1:10" ht="18.75" x14ac:dyDescent="0.3">
      <c r="A7" s="32"/>
      <c r="D7" s="31" t="s">
        <v>37</v>
      </c>
      <c r="E7" s="7">
        <v>14500</v>
      </c>
      <c r="F7" s="7">
        <v>12000</v>
      </c>
      <c r="G7" s="7">
        <v>9000</v>
      </c>
      <c r="H7" s="7">
        <v>11500</v>
      </c>
      <c r="I7" s="7">
        <v>8700</v>
      </c>
      <c r="J7" s="7"/>
    </row>
    <row r="8" spans="1:10" ht="18.75" x14ac:dyDescent="0.3">
      <c r="A8" s="32"/>
      <c r="D8" s="31" t="s">
        <v>38</v>
      </c>
      <c r="E8" s="7">
        <v>3500</v>
      </c>
      <c r="F8" s="7">
        <v>3600</v>
      </c>
      <c r="G8" s="7">
        <v>5000</v>
      </c>
      <c r="H8" s="7">
        <v>4000</v>
      </c>
      <c r="I8" s="7">
        <v>3300</v>
      </c>
      <c r="J8" s="7"/>
    </row>
    <row r="9" spans="1:10" ht="18.75" x14ac:dyDescent="0.3">
      <c r="A9" s="32"/>
      <c r="E9" s="7"/>
      <c r="F9" s="7"/>
      <c r="G9" s="7"/>
      <c r="H9" s="7"/>
      <c r="I9" s="7"/>
      <c r="J9" s="7"/>
    </row>
    <row r="10" spans="1:10" ht="18.75" x14ac:dyDescent="0.3">
      <c r="A10" s="32"/>
    </row>
    <row r="11" spans="1:10" ht="15.75" x14ac:dyDescent="0.25">
      <c r="E11" s="47" t="s">
        <v>0</v>
      </c>
      <c r="F11" s="47" t="s">
        <v>6</v>
      </c>
      <c r="G11" s="4" t="s">
        <v>7</v>
      </c>
      <c r="H11" s="5" t="s">
        <v>1</v>
      </c>
      <c r="I11" s="5" t="s">
        <v>27</v>
      </c>
      <c r="J11" s="5" t="s">
        <v>8</v>
      </c>
    </row>
    <row r="12" spans="1:10" ht="15.75" x14ac:dyDescent="0.25">
      <c r="D12" s="31" t="s">
        <v>24</v>
      </c>
      <c r="G12" s="8">
        <v>20000</v>
      </c>
      <c r="H12" s="8">
        <f>G35</f>
        <v>41900</v>
      </c>
      <c r="I12" s="8">
        <f>H35</f>
        <v>40400</v>
      </c>
      <c r="J12" s="8"/>
    </row>
    <row r="13" spans="1:10" ht="15.75" x14ac:dyDescent="0.25">
      <c r="D13" s="31" t="s">
        <v>25</v>
      </c>
      <c r="E13" s="7">
        <f>10%*E5</f>
        <v>15000</v>
      </c>
      <c r="F13" s="7">
        <f>10%*F5</f>
        <v>16000</v>
      </c>
      <c r="G13" s="8">
        <f>10%*G5</f>
        <v>9000</v>
      </c>
      <c r="H13" s="8">
        <f>10%*H5</f>
        <v>21000</v>
      </c>
      <c r="I13" s="8">
        <f>10%*I5</f>
        <v>25000</v>
      </c>
      <c r="J13" s="7">
        <f t="shared" ref="J13:J18" si="0">SUM(G13:I13)</f>
        <v>55000</v>
      </c>
    </row>
    <row r="14" spans="1:10" ht="15.75" x14ac:dyDescent="0.25">
      <c r="D14" s="31" t="s">
        <v>12</v>
      </c>
      <c r="G14" s="48"/>
      <c r="H14" s="48"/>
      <c r="I14" s="48"/>
      <c r="J14" s="7">
        <f t="shared" si="0"/>
        <v>0</v>
      </c>
    </row>
    <row r="15" spans="1:10" ht="15.75" x14ac:dyDescent="0.25">
      <c r="C15" s="31" t="s">
        <v>29</v>
      </c>
      <c r="D15" s="40">
        <v>0.5</v>
      </c>
      <c r="E15" s="41"/>
      <c r="F15" s="41">
        <f>$D$15*(E5-E13)</f>
        <v>67500</v>
      </c>
      <c r="G15" s="50">
        <f>$D$15*(F5-F13)</f>
        <v>72000</v>
      </c>
      <c r="H15" s="50">
        <f>$D$15*(G5-G13)</f>
        <v>40500</v>
      </c>
      <c r="I15" s="50">
        <f>$D$15*(H5-H13)</f>
        <v>94500</v>
      </c>
      <c r="J15" s="41">
        <f t="shared" si="0"/>
        <v>207000</v>
      </c>
    </row>
    <row r="16" spans="1:10" ht="15.75" x14ac:dyDescent="0.25">
      <c r="C16" s="31" t="s">
        <v>28</v>
      </c>
      <c r="D16" s="40">
        <v>0.5</v>
      </c>
      <c r="E16" s="51"/>
      <c r="F16" s="51"/>
      <c r="G16" s="34">
        <f>$D$15*(E5-E13)</f>
        <v>67500</v>
      </c>
      <c r="H16" s="34">
        <f>$D$15*(F5-F13)</f>
        <v>72000</v>
      </c>
      <c r="I16" s="34">
        <f>$D$15*(G5-G13)</f>
        <v>40500</v>
      </c>
      <c r="J16" s="51">
        <f t="shared" si="0"/>
        <v>180000</v>
      </c>
    </row>
    <row r="17" spans="4:10" ht="16.5" thickBot="1" x14ac:dyDescent="0.3">
      <c r="D17" s="40" t="s">
        <v>30</v>
      </c>
      <c r="E17" s="46"/>
      <c r="F17" s="46">
        <v>2500</v>
      </c>
      <c r="G17" s="49"/>
      <c r="H17" s="49"/>
      <c r="I17" s="49"/>
      <c r="J17" s="46">
        <f t="shared" si="0"/>
        <v>0</v>
      </c>
    </row>
    <row r="18" spans="4:10" ht="15.75" x14ac:dyDescent="0.25">
      <c r="D18" s="31" t="s">
        <v>31</v>
      </c>
      <c r="E18" s="59">
        <f>SUM(E12:E17)</f>
        <v>15000</v>
      </c>
      <c r="F18" s="59">
        <f>SUM(F12:F17)</f>
        <v>86000</v>
      </c>
      <c r="G18" s="60">
        <f>SUM(G12:G17)</f>
        <v>168500</v>
      </c>
      <c r="H18" s="60">
        <f>SUM(H12:H17)</f>
        <v>175400</v>
      </c>
      <c r="I18" s="60">
        <f>SUM(I12:I17)</f>
        <v>200400</v>
      </c>
      <c r="J18" s="59">
        <f t="shared" si="0"/>
        <v>544300</v>
      </c>
    </row>
    <row r="19" spans="4:10" ht="15.75" x14ac:dyDescent="0.25">
      <c r="D19" s="31"/>
      <c r="E19" s="43"/>
      <c r="F19" s="43"/>
      <c r="G19" s="24"/>
      <c r="H19" s="24"/>
      <c r="I19" s="24"/>
      <c r="J19" s="43"/>
    </row>
    <row r="20" spans="4:10" ht="15.75" x14ac:dyDescent="0.25">
      <c r="D20" s="42" t="s">
        <v>32</v>
      </c>
      <c r="G20" s="48"/>
      <c r="H20" s="48"/>
      <c r="I20" s="8"/>
      <c r="J20" s="7"/>
    </row>
    <row r="21" spans="4:10" ht="15.75" x14ac:dyDescent="0.25">
      <c r="D21" s="44" t="s">
        <v>33</v>
      </c>
      <c r="G21" s="48"/>
      <c r="H21" s="48"/>
      <c r="I21" s="8"/>
      <c r="J21" s="7"/>
    </row>
    <row r="22" spans="4:10" ht="15.75" x14ac:dyDescent="0.25">
      <c r="D22" s="31" t="s">
        <v>34</v>
      </c>
      <c r="E22" s="41">
        <f>30%*E6</f>
        <v>24000</v>
      </c>
      <c r="F22" s="41">
        <f>30%*F6</f>
        <v>27000</v>
      </c>
      <c r="G22" s="50">
        <f>30%*G6</f>
        <v>36000</v>
      </c>
      <c r="H22" s="50">
        <f>30%*H6</f>
        <v>22500</v>
      </c>
      <c r="I22" s="50">
        <f>30%*I6</f>
        <v>27000</v>
      </c>
      <c r="J22" s="41">
        <f>SUM(G22:I22)</f>
        <v>85500</v>
      </c>
    </row>
    <row r="23" spans="4:10" ht="15.75" x14ac:dyDescent="0.25">
      <c r="D23" s="40" t="s">
        <v>35</v>
      </c>
      <c r="E23" s="51"/>
      <c r="F23" s="51">
        <f>70%*E6</f>
        <v>56000</v>
      </c>
      <c r="G23" s="34">
        <f>70%*F6</f>
        <v>62999.999999999993</v>
      </c>
      <c r="H23" s="34">
        <f>70%*G6</f>
        <v>84000</v>
      </c>
      <c r="I23" s="34">
        <f>70%*H6</f>
        <v>52500</v>
      </c>
      <c r="J23" s="51">
        <f>SUM(G23:I23)</f>
        <v>199500</v>
      </c>
    </row>
    <row r="24" spans="4:10" ht="15.75" x14ac:dyDescent="0.25">
      <c r="D24" s="40"/>
      <c r="E24" s="7"/>
      <c r="F24" s="7"/>
      <c r="G24" s="8"/>
      <c r="H24" s="8"/>
      <c r="I24" s="8"/>
      <c r="J24" s="7"/>
    </row>
    <row r="25" spans="4:10" ht="15.75" x14ac:dyDescent="0.25">
      <c r="D25" s="40" t="s">
        <v>36</v>
      </c>
      <c r="E25" s="7">
        <v>3000</v>
      </c>
      <c r="F25" s="7">
        <v>3000</v>
      </c>
      <c r="G25" s="8">
        <v>3000</v>
      </c>
      <c r="H25" s="8">
        <v>3000</v>
      </c>
      <c r="I25" s="8">
        <v>3000</v>
      </c>
      <c r="J25" s="7">
        <f>SUM(G25:I25)</f>
        <v>9000</v>
      </c>
    </row>
    <row r="26" spans="4:10" ht="15.75" x14ac:dyDescent="0.25">
      <c r="D26" s="45" t="s">
        <v>37</v>
      </c>
      <c r="G26" s="48"/>
      <c r="H26" s="48"/>
      <c r="I26" s="8"/>
      <c r="J26" s="7"/>
    </row>
    <row r="27" spans="4:10" ht="15.75" x14ac:dyDescent="0.25">
      <c r="D27" s="31" t="s">
        <v>39</v>
      </c>
      <c r="E27" s="41">
        <f>80%*E7</f>
        <v>11600</v>
      </c>
      <c r="F27" s="41">
        <f>80%*F7</f>
        <v>9600</v>
      </c>
      <c r="G27" s="50">
        <f>80%*G7</f>
        <v>7200</v>
      </c>
      <c r="H27" s="50">
        <f>80%*H7</f>
        <v>9200</v>
      </c>
      <c r="I27" s="50">
        <f>80%*I7</f>
        <v>6960</v>
      </c>
      <c r="J27" s="41">
        <f>SUM(G27:I27)</f>
        <v>23360</v>
      </c>
    </row>
    <row r="28" spans="4:10" ht="15.75" x14ac:dyDescent="0.25">
      <c r="D28" s="31" t="s">
        <v>40</v>
      </c>
      <c r="E28" s="51"/>
      <c r="F28" s="51">
        <f>20%*E7</f>
        <v>2900</v>
      </c>
      <c r="G28" s="34">
        <f>20%*F7</f>
        <v>2400</v>
      </c>
      <c r="H28" s="34">
        <f>20%*G7</f>
        <v>1800</v>
      </c>
      <c r="I28" s="34">
        <f>20%*H7</f>
        <v>2300</v>
      </c>
      <c r="J28" s="51">
        <f>SUM(G28:I28)</f>
        <v>6500</v>
      </c>
    </row>
    <row r="29" spans="4:10" ht="15.75" x14ac:dyDescent="0.25">
      <c r="D29" s="31"/>
      <c r="G29" s="48"/>
      <c r="H29" s="48"/>
      <c r="I29" s="48"/>
      <c r="J29" s="7"/>
    </row>
    <row r="30" spans="4:10" ht="15.75" x14ac:dyDescent="0.25">
      <c r="D30" s="31" t="s">
        <v>38</v>
      </c>
      <c r="E30" s="7">
        <f>E8</f>
        <v>3500</v>
      </c>
      <c r="F30" s="7">
        <f>F8</f>
        <v>3600</v>
      </c>
      <c r="G30" s="8">
        <f>G8</f>
        <v>5000</v>
      </c>
      <c r="H30" s="8">
        <f>H8</f>
        <v>4000</v>
      </c>
      <c r="I30" s="8">
        <f>I8</f>
        <v>3300</v>
      </c>
      <c r="J30" s="7">
        <f>SUM(G30:I30)</f>
        <v>12300</v>
      </c>
    </row>
    <row r="31" spans="4:10" ht="15.75" x14ac:dyDescent="0.25">
      <c r="D31" s="31" t="s">
        <v>41</v>
      </c>
      <c r="E31" s="7"/>
      <c r="F31" s="7"/>
      <c r="G31" s="8">
        <v>10000</v>
      </c>
      <c r="H31" s="8">
        <f>G31*1.05</f>
        <v>10500</v>
      </c>
      <c r="I31" s="8">
        <f>H31*1.09</f>
        <v>11445</v>
      </c>
      <c r="J31" s="7">
        <f>SUM(G31:I31)</f>
        <v>31945</v>
      </c>
    </row>
    <row r="32" spans="4:10" ht="15.75" x14ac:dyDescent="0.25">
      <c r="D32" s="31" t="s">
        <v>42</v>
      </c>
      <c r="E32" s="7"/>
      <c r="F32" s="7"/>
      <c r="G32" s="8"/>
      <c r="H32" s="8"/>
      <c r="I32" s="8">
        <v>39000</v>
      </c>
      <c r="J32" s="7">
        <f>SUM(G32:I32)</f>
        <v>39000</v>
      </c>
    </row>
    <row r="33" spans="1:10" ht="16.5" thickBot="1" x14ac:dyDescent="0.3">
      <c r="D33" s="31" t="s">
        <v>43</v>
      </c>
      <c r="E33" s="46"/>
      <c r="F33" s="46"/>
      <c r="G33" s="49"/>
      <c r="H33" s="49"/>
      <c r="I33" s="49">
        <v>12000</v>
      </c>
      <c r="J33" s="46">
        <f>SUM(G33:I33)</f>
        <v>12000</v>
      </c>
    </row>
    <row r="34" spans="1:10" ht="15.75" x14ac:dyDescent="0.25">
      <c r="D34" s="40" t="s">
        <v>44</v>
      </c>
      <c r="E34" s="52"/>
      <c r="F34" s="52"/>
      <c r="G34" s="57">
        <f>SUM(G22:G33)</f>
        <v>126600</v>
      </c>
      <c r="H34" s="57">
        <f>SUM(H22:H33)</f>
        <v>135000</v>
      </c>
      <c r="I34" s="57">
        <f>SUM(I22:I33)</f>
        <v>157505</v>
      </c>
      <c r="J34" s="58">
        <f>SUM(G34:I34)</f>
        <v>419105</v>
      </c>
    </row>
    <row r="35" spans="1:10" ht="16.5" thickBot="1" x14ac:dyDescent="0.3">
      <c r="D35" s="40" t="s">
        <v>45</v>
      </c>
      <c r="E35" s="53"/>
      <c r="F35" s="53"/>
      <c r="G35" s="55">
        <f>G18-G34</f>
        <v>41900</v>
      </c>
      <c r="H35" s="55">
        <f>H18-H34</f>
        <v>40400</v>
      </c>
      <c r="I35" s="55">
        <f>I18-I34</f>
        <v>42895</v>
      </c>
      <c r="J35" s="56">
        <f>I35</f>
        <v>42895</v>
      </c>
    </row>
    <row r="36" spans="1:10" ht="16.5" thickTop="1" x14ac:dyDescent="0.25">
      <c r="I36" s="7"/>
    </row>
    <row r="37" spans="1:10" ht="21" x14ac:dyDescent="0.35">
      <c r="A37" s="54" t="s">
        <v>49</v>
      </c>
      <c r="D37" s="40"/>
      <c r="E37" s="7"/>
      <c r="F37" s="7"/>
      <c r="G37" s="7"/>
      <c r="H37" s="7"/>
      <c r="I37" s="7"/>
    </row>
    <row r="38" spans="1:10" ht="15.75" x14ac:dyDescent="0.25">
      <c r="D38" s="31" t="s">
        <v>47</v>
      </c>
      <c r="E38" s="62">
        <f>I35</f>
        <v>42895</v>
      </c>
      <c r="F38" s="7"/>
      <c r="G38" s="7"/>
      <c r="H38" s="7"/>
      <c r="I38" s="7"/>
    </row>
    <row r="39" spans="1:10" ht="15.75" x14ac:dyDescent="0.25">
      <c r="D39" s="31" t="s">
        <v>46</v>
      </c>
      <c r="E39" s="62">
        <v>38000</v>
      </c>
      <c r="I39" s="7"/>
    </row>
    <row r="40" spans="1:10" ht="15.75" x14ac:dyDescent="0.25">
      <c r="D40" s="31" t="s">
        <v>50</v>
      </c>
      <c r="E40" s="63">
        <f>E38-E39</f>
        <v>4895</v>
      </c>
      <c r="I40" s="7"/>
    </row>
    <row r="41" spans="1:10" ht="15.75" x14ac:dyDescent="0.25">
      <c r="D41" s="40"/>
      <c r="E41" s="7"/>
      <c r="F41" s="7"/>
      <c r="G41" s="7"/>
      <c r="H41" s="7"/>
      <c r="I41" s="7"/>
    </row>
    <row r="42" spans="1:10" ht="15.75" x14ac:dyDescent="0.25">
      <c r="C42" s="64" t="s">
        <v>51</v>
      </c>
      <c r="D42" s="40"/>
      <c r="E42" s="7"/>
      <c r="F42" s="7"/>
      <c r="G42" s="7"/>
      <c r="H42" s="7"/>
      <c r="I42" s="7"/>
    </row>
    <row r="43" spans="1:10" ht="15.75" x14ac:dyDescent="0.25">
      <c r="C43" s="64" t="s">
        <v>52</v>
      </c>
      <c r="D43" s="40"/>
      <c r="E43" s="7"/>
      <c r="F43" s="7"/>
      <c r="G43" s="7"/>
      <c r="H43" s="7"/>
      <c r="I43" s="7"/>
    </row>
    <row r="44" spans="1:10" ht="15.75" x14ac:dyDescent="0.25">
      <c r="D44" s="31"/>
      <c r="E44" s="7"/>
      <c r="F44" s="7"/>
      <c r="G44" s="7"/>
      <c r="H44" s="7"/>
      <c r="I44" s="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
  <sheetViews>
    <sheetView topLeftCell="A49" workbookViewId="0">
      <selection activeCell="F55" sqref="F55"/>
    </sheetView>
  </sheetViews>
  <sheetFormatPr defaultRowHeight="15" x14ac:dyDescent="0.25"/>
  <cols>
    <col min="1" max="1" width="40" customWidth="1"/>
    <col min="2" max="2" width="17" customWidth="1"/>
    <col min="3" max="3" width="10.7109375" customWidth="1"/>
    <col min="5" max="7" width="19.28515625" customWidth="1"/>
  </cols>
  <sheetData>
    <row r="1" spans="1:9" s="65" customFormat="1" ht="15.75" x14ac:dyDescent="0.25">
      <c r="I1" s="66"/>
    </row>
    <row r="2" spans="1:9" ht="18.75" x14ac:dyDescent="0.3">
      <c r="A2" s="67" t="s">
        <v>53</v>
      </c>
      <c r="E2" s="7"/>
      <c r="F2" s="7"/>
      <c r="G2" s="7"/>
      <c r="H2" s="7"/>
      <c r="I2" s="7"/>
    </row>
    <row r="3" spans="1:9" ht="20.25" x14ac:dyDescent="0.55000000000000004">
      <c r="D3" s="72" t="s">
        <v>65</v>
      </c>
      <c r="E3" s="7"/>
      <c r="F3" s="7"/>
      <c r="G3" s="7"/>
      <c r="H3" s="7"/>
      <c r="I3" s="7"/>
    </row>
    <row r="4" spans="1:9" ht="15.75" x14ac:dyDescent="0.25">
      <c r="D4" s="31" t="s">
        <v>54</v>
      </c>
      <c r="E4" s="31" t="s">
        <v>59</v>
      </c>
      <c r="F4" s="31" t="s">
        <v>62</v>
      </c>
      <c r="G4" s="31" t="s">
        <v>61</v>
      </c>
    </row>
    <row r="5" spans="1:9" ht="15.75" x14ac:dyDescent="0.25">
      <c r="D5" s="31" t="s">
        <v>55</v>
      </c>
      <c r="E5" s="7"/>
      <c r="F5" s="7"/>
      <c r="G5" s="61">
        <v>165</v>
      </c>
    </row>
    <row r="6" spans="1:9" ht="15.75" x14ac:dyDescent="0.25">
      <c r="D6" s="31" t="s">
        <v>56</v>
      </c>
      <c r="E6" s="7">
        <v>2</v>
      </c>
      <c r="F6" s="61">
        <v>22.5</v>
      </c>
      <c r="G6" s="61">
        <v>45</v>
      </c>
    </row>
    <row r="7" spans="1:9" ht="15.75" x14ac:dyDescent="0.25">
      <c r="D7" s="31" t="s">
        <v>57</v>
      </c>
      <c r="E7" s="7">
        <v>1</v>
      </c>
      <c r="F7" s="61">
        <v>15.5</v>
      </c>
      <c r="G7" s="61">
        <v>15.5</v>
      </c>
    </row>
    <row r="8" spans="1:9" ht="15.75" x14ac:dyDescent="0.25">
      <c r="D8" s="31" t="s">
        <v>58</v>
      </c>
      <c r="E8" s="7">
        <v>3</v>
      </c>
      <c r="F8" s="61">
        <v>5</v>
      </c>
      <c r="G8" s="61">
        <v>15</v>
      </c>
    </row>
    <row r="9" spans="1:9" ht="15.75" x14ac:dyDescent="0.25">
      <c r="D9" s="31" t="s">
        <v>60</v>
      </c>
      <c r="E9" s="7">
        <v>2</v>
      </c>
      <c r="F9" s="61">
        <v>3.2</v>
      </c>
      <c r="G9" s="61">
        <v>6.4</v>
      </c>
    </row>
    <row r="10" spans="1:9" ht="15.75" x14ac:dyDescent="0.25">
      <c r="D10" s="31"/>
    </row>
    <row r="11" spans="1:9" ht="15.75" x14ac:dyDescent="0.25">
      <c r="D11" s="31" t="s">
        <v>63</v>
      </c>
      <c r="E11" s="62">
        <v>38000</v>
      </c>
    </row>
    <row r="12" spans="1:9" ht="15.75" x14ac:dyDescent="0.25">
      <c r="C12" s="26"/>
      <c r="D12" s="31" t="s">
        <v>64</v>
      </c>
      <c r="E12" s="7">
        <v>5000</v>
      </c>
    </row>
    <row r="13" spans="1:9" ht="15.75" x14ac:dyDescent="0.25">
      <c r="D13" s="31"/>
    </row>
    <row r="14" spans="1:9" ht="15.75" x14ac:dyDescent="0.25">
      <c r="D14" s="31"/>
    </row>
    <row r="15" spans="1:9" ht="18.75" x14ac:dyDescent="0.3">
      <c r="C15" s="69"/>
      <c r="D15" s="31"/>
    </row>
    <row r="16" spans="1:9" ht="15.75" x14ac:dyDescent="0.25">
      <c r="D16" s="31" t="s">
        <v>26</v>
      </c>
      <c r="E16" s="62">
        <f>G5*E12</f>
        <v>825000</v>
      </c>
    </row>
    <row r="17" spans="1:7" ht="17.25" x14ac:dyDescent="0.35">
      <c r="D17" s="70" t="s">
        <v>66</v>
      </c>
      <c r="E17" s="62"/>
    </row>
    <row r="18" spans="1:7" ht="15.75" x14ac:dyDescent="0.25">
      <c r="D18" s="31" t="s">
        <v>67</v>
      </c>
      <c r="E18" s="7">
        <f>E12*G6+E12*G7</f>
        <v>302500</v>
      </c>
    </row>
    <row r="19" spans="1:7" ht="15.75" x14ac:dyDescent="0.25">
      <c r="D19" s="31" t="s">
        <v>68</v>
      </c>
      <c r="E19" s="7">
        <f>$E$12*G8</f>
        <v>75000</v>
      </c>
    </row>
    <row r="20" spans="1:7" ht="15.75" x14ac:dyDescent="0.25">
      <c r="D20" s="31" t="s">
        <v>69</v>
      </c>
      <c r="E20" s="7">
        <f>$E$12*G9</f>
        <v>32000</v>
      </c>
    </row>
    <row r="21" spans="1:7" ht="15.75" x14ac:dyDescent="0.25">
      <c r="D21" s="31" t="s">
        <v>70</v>
      </c>
      <c r="E21" s="41">
        <f>E16-E18-E19-E20</f>
        <v>415500</v>
      </c>
    </row>
    <row r="22" spans="1:7" ht="15.75" x14ac:dyDescent="0.25">
      <c r="D22" s="31" t="s">
        <v>71</v>
      </c>
      <c r="E22" s="7">
        <f>E11</f>
        <v>38000</v>
      </c>
    </row>
    <row r="23" spans="1:7" ht="16.5" thickBot="1" x14ac:dyDescent="0.3">
      <c r="D23" s="31" t="s">
        <v>72</v>
      </c>
      <c r="E23" s="71">
        <f>E21-E22</f>
        <v>377500</v>
      </c>
    </row>
    <row r="24" spans="1:7" s="74" customFormat="1" ht="17.25" thickTop="1" thickBot="1" x14ac:dyDescent="0.3">
      <c r="D24" s="75"/>
      <c r="E24" s="76"/>
    </row>
    <row r="25" spans="1:7" ht="15.75" x14ac:dyDescent="0.25">
      <c r="D25" s="31"/>
      <c r="E25" s="59"/>
    </row>
    <row r="26" spans="1:7" ht="18.75" x14ac:dyDescent="0.3">
      <c r="A26" s="67" t="s">
        <v>73</v>
      </c>
      <c r="E26" s="62"/>
    </row>
    <row r="27" spans="1:7" ht="15.75" x14ac:dyDescent="0.25">
      <c r="D27" s="68" t="s">
        <v>54</v>
      </c>
      <c r="E27" s="68" t="s">
        <v>59</v>
      </c>
      <c r="F27" s="68" t="s">
        <v>62</v>
      </c>
      <c r="G27" s="68" t="s">
        <v>61</v>
      </c>
    </row>
    <row r="28" spans="1:7" ht="15.75" x14ac:dyDescent="0.25">
      <c r="D28" s="31" t="s">
        <v>55</v>
      </c>
      <c r="E28" s="7"/>
      <c r="F28" s="7"/>
      <c r="G28" s="61">
        <v>150</v>
      </c>
    </row>
    <row r="29" spans="1:7" ht="15.75" x14ac:dyDescent="0.25">
      <c r="D29" s="31" t="s">
        <v>56</v>
      </c>
      <c r="E29" s="7">
        <v>3</v>
      </c>
      <c r="F29" s="61">
        <v>10.5</v>
      </c>
      <c r="G29" s="61">
        <f>F29*E29</f>
        <v>31.5</v>
      </c>
    </row>
    <row r="30" spans="1:7" ht="15.75" x14ac:dyDescent="0.25">
      <c r="D30" s="31" t="s">
        <v>57</v>
      </c>
      <c r="E30" s="7">
        <v>2</v>
      </c>
      <c r="F30" s="61">
        <v>18.8</v>
      </c>
      <c r="G30" s="61">
        <f>F30*E30</f>
        <v>37.6</v>
      </c>
    </row>
    <row r="31" spans="1:7" ht="15.75" x14ac:dyDescent="0.25">
      <c r="D31" s="31" t="s">
        <v>58</v>
      </c>
      <c r="E31" s="7">
        <v>3</v>
      </c>
      <c r="F31" s="61">
        <v>6.55</v>
      </c>
      <c r="G31" s="61">
        <f>F31*E31</f>
        <v>19.649999999999999</v>
      </c>
    </row>
    <row r="32" spans="1:7" ht="15.75" x14ac:dyDescent="0.25">
      <c r="D32" s="31" t="s">
        <v>60</v>
      </c>
      <c r="E32" s="7">
        <v>3</v>
      </c>
      <c r="F32" s="61">
        <v>4.4000000000000004</v>
      </c>
      <c r="G32" s="61">
        <f>F32*E32</f>
        <v>13.200000000000001</v>
      </c>
    </row>
    <row r="33" spans="3:5" ht="15.75" x14ac:dyDescent="0.25">
      <c r="D33" s="31"/>
    </row>
    <row r="34" spans="3:5" ht="15.75" x14ac:dyDescent="0.25">
      <c r="D34" s="31" t="s">
        <v>63</v>
      </c>
      <c r="E34" s="62">
        <v>38000</v>
      </c>
    </row>
    <row r="35" spans="3:5" ht="15.75" x14ac:dyDescent="0.25">
      <c r="C35" s="26"/>
      <c r="D35" s="31" t="s">
        <v>64</v>
      </c>
      <c r="E35" s="7">
        <v>4500</v>
      </c>
    </row>
    <row r="36" spans="3:5" ht="15.75" x14ac:dyDescent="0.25">
      <c r="D36" s="31"/>
    </row>
    <row r="37" spans="3:5" ht="15.75" x14ac:dyDescent="0.25">
      <c r="D37" s="31"/>
    </row>
    <row r="38" spans="3:5" ht="18.75" x14ac:dyDescent="0.3">
      <c r="C38" s="73" t="s">
        <v>78</v>
      </c>
      <c r="D38" s="31"/>
    </row>
    <row r="39" spans="3:5" ht="15.75" x14ac:dyDescent="0.25">
      <c r="D39" s="31" t="s">
        <v>26</v>
      </c>
      <c r="E39" s="62">
        <f>G28*E35</f>
        <v>675000</v>
      </c>
    </row>
    <row r="40" spans="3:5" ht="17.25" x14ac:dyDescent="0.35">
      <c r="D40" s="70" t="s">
        <v>66</v>
      </c>
      <c r="E40" s="62"/>
    </row>
    <row r="41" spans="3:5" ht="15.75" x14ac:dyDescent="0.25">
      <c r="D41" s="31" t="s">
        <v>67</v>
      </c>
      <c r="E41" s="7">
        <f>E35*G29+E35*G30</f>
        <v>310950</v>
      </c>
    </row>
    <row r="42" spans="3:5" ht="15.75" x14ac:dyDescent="0.25">
      <c r="D42" s="31" t="s">
        <v>68</v>
      </c>
      <c r="E42" s="7">
        <f>$E$12*G31</f>
        <v>98250</v>
      </c>
    </row>
    <row r="43" spans="3:5" ht="15.75" x14ac:dyDescent="0.25">
      <c r="D43" s="31" t="s">
        <v>69</v>
      </c>
      <c r="E43" s="7">
        <f>$E$12*G32</f>
        <v>66000</v>
      </c>
    </row>
    <row r="44" spans="3:5" ht="15.75" x14ac:dyDescent="0.25">
      <c r="D44" s="31" t="s">
        <v>70</v>
      </c>
      <c r="E44" s="41">
        <f>E39-E41-E42-E43</f>
        <v>199800</v>
      </c>
    </row>
    <row r="45" spans="3:5" ht="15.75" x14ac:dyDescent="0.25">
      <c r="D45" s="31" t="s">
        <v>71</v>
      </c>
      <c r="E45" s="7">
        <f>E34</f>
        <v>38000</v>
      </c>
    </row>
    <row r="46" spans="3:5" ht="16.5" thickBot="1" x14ac:dyDescent="0.3">
      <c r="D46" s="31" t="s">
        <v>72</v>
      </c>
      <c r="E46" s="71">
        <f>E44-E45</f>
        <v>161800</v>
      </c>
    </row>
    <row r="47" spans="3:5" ht="16.5" thickTop="1" x14ac:dyDescent="0.25">
      <c r="D47" s="31"/>
      <c r="E47" s="59"/>
    </row>
    <row r="48" spans="3:5" s="74" customFormat="1" ht="16.5" thickBot="1" x14ac:dyDescent="0.3">
      <c r="D48" s="75"/>
      <c r="E48" s="76"/>
    </row>
    <row r="50" spans="1:8" ht="18.75" x14ac:dyDescent="0.3">
      <c r="A50" s="67" t="s">
        <v>74</v>
      </c>
    </row>
    <row r="51" spans="1:8" ht="19.5" x14ac:dyDescent="0.35">
      <c r="C51" s="69"/>
      <c r="D51" s="31"/>
      <c r="E51" s="70" t="s">
        <v>75</v>
      </c>
      <c r="F51" s="31" t="s">
        <v>76</v>
      </c>
      <c r="G51" s="31" t="s">
        <v>50</v>
      </c>
      <c r="H51" s="31" t="s">
        <v>77</v>
      </c>
    </row>
    <row r="52" spans="1:8" ht="15.75" x14ac:dyDescent="0.25">
      <c r="D52" s="31" t="s">
        <v>26</v>
      </c>
      <c r="E52" s="62">
        <f>G5*E35</f>
        <v>742500</v>
      </c>
      <c r="F52" s="62">
        <f>E39</f>
        <v>675000</v>
      </c>
      <c r="G52" s="62">
        <f>F52-E52</f>
        <v>-67500</v>
      </c>
      <c r="H52" s="62" t="s">
        <v>79</v>
      </c>
    </row>
    <row r="53" spans="1:8" ht="17.25" x14ac:dyDescent="0.35">
      <c r="D53" s="70" t="s">
        <v>66</v>
      </c>
      <c r="E53" s="62"/>
      <c r="F53" s="62"/>
      <c r="G53" s="62"/>
      <c r="H53" s="62"/>
    </row>
    <row r="54" spans="1:8" ht="15.75" x14ac:dyDescent="0.25">
      <c r="D54" s="31" t="s">
        <v>67</v>
      </c>
      <c r="E54" s="7">
        <f>G6*E35+G7*E35</f>
        <v>272250</v>
      </c>
      <c r="F54" s="7">
        <f t="shared" ref="F54:F59" si="0">E41</f>
        <v>310950</v>
      </c>
      <c r="G54" s="7">
        <f t="shared" ref="G54:G59" si="1">F54-E54</f>
        <v>38700</v>
      </c>
      <c r="H54" s="7" t="s">
        <v>79</v>
      </c>
    </row>
    <row r="55" spans="1:8" ht="15.75" x14ac:dyDescent="0.25">
      <c r="D55" s="31" t="s">
        <v>68</v>
      </c>
      <c r="E55" s="7">
        <f>G8*E35</f>
        <v>67500</v>
      </c>
      <c r="F55" s="7">
        <f t="shared" si="0"/>
        <v>98250</v>
      </c>
      <c r="G55" s="7">
        <f t="shared" si="1"/>
        <v>30750</v>
      </c>
      <c r="H55" s="7" t="s">
        <v>79</v>
      </c>
    </row>
    <row r="56" spans="1:8" ht="15.75" x14ac:dyDescent="0.25">
      <c r="D56" s="31" t="s">
        <v>69</v>
      </c>
      <c r="E56" s="7">
        <f>G9*E35</f>
        <v>28800</v>
      </c>
      <c r="F56" s="7">
        <f t="shared" si="0"/>
        <v>66000</v>
      </c>
      <c r="G56" s="7">
        <f t="shared" si="1"/>
        <v>37200</v>
      </c>
      <c r="H56" s="7" t="s">
        <v>79</v>
      </c>
    </row>
    <row r="57" spans="1:8" ht="15.75" x14ac:dyDescent="0.25">
      <c r="D57" s="31" t="s">
        <v>70</v>
      </c>
      <c r="E57" s="41">
        <f>E52-E54-E55-E56</f>
        <v>373950</v>
      </c>
      <c r="F57" s="41">
        <f t="shared" si="0"/>
        <v>199800</v>
      </c>
      <c r="G57" s="41">
        <f>F57-E57</f>
        <v>-174150</v>
      </c>
      <c r="H57" s="41" t="s">
        <v>79</v>
      </c>
    </row>
    <row r="58" spans="1:8" ht="15.75" x14ac:dyDescent="0.25">
      <c r="D58" s="31" t="s">
        <v>71</v>
      </c>
      <c r="E58" s="7">
        <f>E45</f>
        <v>38000</v>
      </c>
      <c r="F58" s="7">
        <f t="shared" si="0"/>
        <v>38000</v>
      </c>
      <c r="G58" s="7">
        <f t="shared" si="1"/>
        <v>0</v>
      </c>
      <c r="H58" s="7" t="s">
        <v>80</v>
      </c>
    </row>
    <row r="59" spans="1:8" ht="16.5" thickBot="1" x14ac:dyDescent="0.3">
      <c r="D59" s="31" t="s">
        <v>72</v>
      </c>
      <c r="E59" s="71">
        <f>E57-E58</f>
        <v>335950</v>
      </c>
      <c r="F59" s="71">
        <f t="shared" si="0"/>
        <v>161800</v>
      </c>
      <c r="G59" s="71">
        <f t="shared" si="1"/>
        <v>-174150</v>
      </c>
      <c r="H59" s="71" t="s">
        <v>79</v>
      </c>
    </row>
    <row r="60" spans="1:8" ht="15.75" thickTop="1" x14ac:dyDescent="0.25"/>
    <row r="62" spans="1:8" s="74" customFormat="1" ht="15.75" thickBot="1" x14ac:dyDescent="0.3"/>
    <row r="64" spans="1:8" ht="18.75" x14ac:dyDescent="0.3">
      <c r="A64" s="67" t="s">
        <v>81</v>
      </c>
      <c r="B64" s="31" t="s">
        <v>92</v>
      </c>
    </row>
    <row r="65" spans="1:2" ht="15.75" x14ac:dyDescent="0.25">
      <c r="A65" s="31" t="s">
        <v>82</v>
      </c>
      <c r="B65" s="7">
        <f>(G5-G28)*E35</f>
        <v>67500</v>
      </c>
    </row>
    <row r="66" spans="1:2" ht="15.75" x14ac:dyDescent="0.25">
      <c r="A66" s="31" t="s">
        <v>84</v>
      </c>
      <c r="B66" s="7">
        <f>G6*(E35-E12)</f>
        <v>-22500</v>
      </c>
    </row>
    <row r="67" spans="1:2" ht="15.75" x14ac:dyDescent="0.25">
      <c r="A67" s="31" t="s">
        <v>85</v>
      </c>
      <c r="B67" s="7">
        <f>E35*(G29-G6)</f>
        <v>-60750</v>
      </c>
    </row>
    <row r="68" spans="1:2" ht="15.75" x14ac:dyDescent="0.25">
      <c r="A68" s="31" t="s">
        <v>86</v>
      </c>
      <c r="B68" s="7">
        <f>G7*(E35-E12)</f>
        <v>-7750</v>
      </c>
    </row>
    <row r="69" spans="1:2" ht="15.75" x14ac:dyDescent="0.25">
      <c r="A69" s="31" t="s">
        <v>87</v>
      </c>
      <c r="B69" s="7">
        <f>(E31*E35)*(F31-F8)</f>
        <v>20924.999999999996</v>
      </c>
    </row>
    <row r="70" spans="1:2" ht="15.75" x14ac:dyDescent="0.25">
      <c r="A70" s="31" t="s">
        <v>88</v>
      </c>
      <c r="B70" s="7">
        <f>(E31*E35)*(F8-F31)</f>
        <v>-20924.999999999996</v>
      </c>
    </row>
    <row r="71" spans="1:2" ht="15.75" x14ac:dyDescent="0.25">
      <c r="A71" s="31" t="s">
        <v>89</v>
      </c>
      <c r="B71" s="7">
        <f>F8*((E31*E35)-(E8*E12))</f>
        <v>-7500</v>
      </c>
    </row>
    <row r="72" spans="1:2" ht="15.75" x14ac:dyDescent="0.25">
      <c r="A72" s="31" t="s">
        <v>90</v>
      </c>
      <c r="B72" s="7">
        <f>E34-E11</f>
        <v>0</v>
      </c>
    </row>
    <row r="73" spans="1:2" ht="15.75" x14ac:dyDescent="0.25">
      <c r="A73" s="31" t="s">
        <v>91</v>
      </c>
      <c r="B73" s="7">
        <f>E43-E20</f>
        <v>34000</v>
      </c>
    </row>
    <row r="74" spans="1:2" ht="15.75" x14ac:dyDescent="0.25">
      <c r="A74" s="31" t="s">
        <v>83</v>
      </c>
      <c r="B74" s="7">
        <f>F32*((E32*E35)-(E9*E12))</f>
        <v>15400.000000000002</v>
      </c>
    </row>
    <row r="75" spans="1:2" ht="15.75" x14ac:dyDescent="0.25">
      <c r="B75" s="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47"/>
  <sheetViews>
    <sheetView topLeftCell="A38" workbookViewId="0">
      <selection activeCell="J32" sqref="J32"/>
    </sheetView>
  </sheetViews>
  <sheetFormatPr defaultRowHeight="15.75" x14ac:dyDescent="0.25"/>
  <cols>
    <col min="1" max="1" width="35.5703125" style="78" customWidth="1"/>
    <col min="2" max="3" width="13.5703125" style="78" customWidth="1"/>
    <col min="4" max="4" width="20" style="78" customWidth="1"/>
    <col min="5" max="7" width="13.5703125" style="78" customWidth="1"/>
    <col min="8" max="16384" width="9.140625" style="78"/>
  </cols>
  <sheetData>
    <row r="2" spans="1:2" x14ac:dyDescent="0.25">
      <c r="A2" s="78" t="s">
        <v>93</v>
      </c>
      <c r="B2" s="80">
        <v>80</v>
      </c>
    </row>
    <row r="3" spans="1:2" x14ac:dyDescent="0.25">
      <c r="A3" s="79" t="s">
        <v>94</v>
      </c>
      <c r="B3" s="80"/>
    </row>
    <row r="4" spans="1:2" x14ac:dyDescent="0.25">
      <c r="A4" s="78" t="s">
        <v>95</v>
      </c>
      <c r="B4" s="80">
        <v>40</v>
      </c>
    </row>
    <row r="5" spans="1:2" x14ac:dyDescent="0.25">
      <c r="A5" s="78" t="s">
        <v>96</v>
      </c>
      <c r="B5" s="80">
        <v>800</v>
      </c>
    </row>
    <row r="7" spans="1:2" ht="18.75" x14ac:dyDescent="0.3">
      <c r="A7" s="67" t="s">
        <v>97</v>
      </c>
    </row>
    <row r="8" spans="1:2" x14ac:dyDescent="0.25">
      <c r="A8" s="77" t="s">
        <v>98</v>
      </c>
      <c r="B8" s="81">
        <f>B5/(B2-B4)</f>
        <v>20</v>
      </c>
    </row>
    <row r="9" spans="1:2" x14ac:dyDescent="0.25">
      <c r="A9" s="77"/>
    </row>
    <row r="10" spans="1:2" x14ac:dyDescent="0.25">
      <c r="A10" s="77" t="s">
        <v>99</v>
      </c>
    </row>
    <row r="11" spans="1:2" x14ac:dyDescent="0.25">
      <c r="A11" s="83" t="s">
        <v>102</v>
      </c>
    </row>
    <row r="12" spans="1:2" x14ac:dyDescent="0.25">
      <c r="A12" s="78" t="s">
        <v>26</v>
      </c>
      <c r="B12" s="80">
        <f>20*B$2</f>
        <v>1600</v>
      </c>
    </row>
    <row r="13" spans="1:2" x14ac:dyDescent="0.25">
      <c r="A13" s="78" t="s">
        <v>95</v>
      </c>
      <c r="B13" s="80">
        <f>20*$B$4</f>
        <v>800</v>
      </c>
    </row>
    <row r="14" spans="1:2" x14ac:dyDescent="0.25">
      <c r="A14" s="78" t="s">
        <v>70</v>
      </c>
      <c r="B14" s="85">
        <f>B12-B13</f>
        <v>800</v>
      </c>
    </row>
    <row r="15" spans="1:2" x14ac:dyDescent="0.25">
      <c r="A15" s="78" t="s">
        <v>103</v>
      </c>
      <c r="B15" s="80">
        <f>$B$5</f>
        <v>800</v>
      </c>
    </row>
    <row r="16" spans="1:2" ht="16.5" thickBot="1" x14ac:dyDescent="0.3">
      <c r="A16" s="78" t="s">
        <v>104</v>
      </c>
      <c r="B16" s="84">
        <f>B14-B15</f>
        <v>0</v>
      </c>
    </row>
    <row r="17" spans="1:2" ht="16.5" thickTop="1" x14ac:dyDescent="0.25"/>
    <row r="19" spans="1:2" x14ac:dyDescent="0.25">
      <c r="A19" s="82" t="s">
        <v>100</v>
      </c>
    </row>
    <row r="20" spans="1:2" x14ac:dyDescent="0.25">
      <c r="A20" s="78" t="s">
        <v>26</v>
      </c>
      <c r="B20" s="80">
        <f>45*B$2</f>
        <v>3600</v>
      </c>
    </row>
    <row r="21" spans="1:2" x14ac:dyDescent="0.25">
      <c r="A21" s="78" t="s">
        <v>95</v>
      </c>
      <c r="B21" s="80">
        <f>45*$B$4</f>
        <v>1800</v>
      </c>
    </row>
    <row r="22" spans="1:2" x14ac:dyDescent="0.25">
      <c r="A22" s="78" t="s">
        <v>70</v>
      </c>
      <c r="B22" s="85">
        <f>B20-B21</f>
        <v>1800</v>
      </c>
    </row>
    <row r="23" spans="1:2" x14ac:dyDescent="0.25">
      <c r="A23" s="78" t="s">
        <v>103</v>
      </c>
      <c r="B23" s="80">
        <f>$B$5</f>
        <v>800</v>
      </c>
    </row>
    <row r="24" spans="1:2" ht="16.5" thickBot="1" x14ac:dyDescent="0.3">
      <c r="A24" s="78" t="s">
        <v>104</v>
      </c>
      <c r="B24" s="84">
        <f>B22-B23</f>
        <v>1000</v>
      </c>
    </row>
    <row r="25" spans="1:2" ht="16.5" thickTop="1" x14ac:dyDescent="0.25">
      <c r="B25" s="86"/>
    </row>
    <row r="26" spans="1:2" x14ac:dyDescent="0.25">
      <c r="B26" s="86"/>
    </row>
    <row r="27" spans="1:2" x14ac:dyDescent="0.25">
      <c r="A27" s="83" t="s">
        <v>101</v>
      </c>
    </row>
    <row r="28" spans="1:2" x14ac:dyDescent="0.25">
      <c r="A28" s="78" t="s">
        <v>26</v>
      </c>
      <c r="B28" s="80">
        <f>55*B$2</f>
        <v>4400</v>
      </c>
    </row>
    <row r="29" spans="1:2" x14ac:dyDescent="0.25">
      <c r="A29" s="78" t="s">
        <v>95</v>
      </c>
      <c r="B29" s="80">
        <f>55*$B$4</f>
        <v>2200</v>
      </c>
    </row>
    <row r="30" spans="1:2" x14ac:dyDescent="0.25">
      <c r="A30" s="78" t="s">
        <v>70</v>
      </c>
      <c r="B30" s="85">
        <f>B28-B29</f>
        <v>2200</v>
      </c>
    </row>
    <row r="31" spans="1:2" x14ac:dyDescent="0.25">
      <c r="A31" s="78" t="s">
        <v>103</v>
      </c>
      <c r="B31" s="80">
        <f>$B$5</f>
        <v>800</v>
      </c>
    </row>
    <row r="32" spans="1:2" ht="16.5" thickBot="1" x14ac:dyDescent="0.3">
      <c r="A32" s="78" t="s">
        <v>104</v>
      </c>
      <c r="B32" s="84">
        <f>B30-B31</f>
        <v>1400</v>
      </c>
    </row>
    <row r="33" spans="2:7" ht="16.5" thickTop="1" x14ac:dyDescent="0.25"/>
    <row r="34" spans="2:7" x14ac:dyDescent="0.25">
      <c r="B34" s="78" t="s">
        <v>105</v>
      </c>
      <c r="C34" s="78" t="s">
        <v>103</v>
      </c>
      <c r="D34" s="78" t="s">
        <v>95</v>
      </c>
      <c r="E34" s="78" t="s">
        <v>107</v>
      </c>
      <c r="F34" s="78" t="s">
        <v>108</v>
      </c>
      <c r="G34" s="78" t="s">
        <v>104</v>
      </c>
    </row>
    <row r="35" spans="2:7" x14ac:dyDescent="0.25">
      <c r="B35" s="78" t="s">
        <v>106</v>
      </c>
      <c r="C35" s="78" t="s">
        <v>109</v>
      </c>
      <c r="D35" s="78" t="s">
        <v>110</v>
      </c>
      <c r="E35" s="78" t="s">
        <v>111</v>
      </c>
      <c r="F35" s="78" t="s">
        <v>112</v>
      </c>
      <c r="G35" s="78" t="s">
        <v>113</v>
      </c>
    </row>
    <row r="36" spans="2:7" x14ac:dyDescent="0.25">
      <c r="D36" s="78" t="s">
        <v>114</v>
      </c>
      <c r="E36" s="78" t="s">
        <v>115</v>
      </c>
      <c r="F36" s="78" t="s">
        <v>116</v>
      </c>
      <c r="G36" s="78" t="s">
        <v>117</v>
      </c>
    </row>
    <row r="37" spans="2:7" x14ac:dyDescent="0.25">
      <c r="B37" s="78">
        <v>0</v>
      </c>
      <c r="C37" s="78">
        <v>800</v>
      </c>
      <c r="D37" s="80">
        <f>B37*$B$4</f>
        <v>0</v>
      </c>
      <c r="E37" s="80">
        <f>C37+D37</f>
        <v>800</v>
      </c>
      <c r="F37" s="80">
        <f>B37*$B$2</f>
        <v>0</v>
      </c>
      <c r="G37" s="80">
        <f>F37-E37</f>
        <v>-800</v>
      </c>
    </row>
    <row r="38" spans="2:7" x14ac:dyDescent="0.25">
      <c r="B38" s="78">
        <v>5</v>
      </c>
      <c r="C38" s="78">
        <v>800</v>
      </c>
      <c r="D38" s="80">
        <f t="shared" ref="D38:D47" si="0">B38*$B$4</f>
        <v>200</v>
      </c>
      <c r="E38" s="80">
        <f t="shared" ref="E38:E47" si="1">C38+D38</f>
        <v>1000</v>
      </c>
      <c r="F38" s="80">
        <f t="shared" ref="F38:F47" si="2">B38*$B$2</f>
        <v>400</v>
      </c>
      <c r="G38" s="80">
        <f t="shared" ref="G38:G47" si="3">F38-E38</f>
        <v>-600</v>
      </c>
    </row>
    <row r="39" spans="2:7" x14ac:dyDescent="0.25">
      <c r="B39" s="78">
        <v>10</v>
      </c>
      <c r="C39" s="78">
        <v>800</v>
      </c>
      <c r="D39" s="80">
        <f t="shared" si="0"/>
        <v>400</v>
      </c>
      <c r="E39" s="80">
        <f t="shared" si="1"/>
        <v>1200</v>
      </c>
      <c r="F39" s="80">
        <f t="shared" si="2"/>
        <v>800</v>
      </c>
      <c r="G39" s="80">
        <f t="shared" si="3"/>
        <v>-400</v>
      </c>
    </row>
    <row r="40" spans="2:7" x14ac:dyDescent="0.25">
      <c r="B40" s="78">
        <v>15</v>
      </c>
      <c r="C40" s="78">
        <v>800</v>
      </c>
      <c r="D40" s="80">
        <f t="shared" si="0"/>
        <v>600</v>
      </c>
      <c r="E40" s="80">
        <f t="shared" si="1"/>
        <v>1400</v>
      </c>
      <c r="F40" s="80">
        <f t="shared" si="2"/>
        <v>1200</v>
      </c>
      <c r="G40" s="80">
        <f t="shared" si="3"/>
        <v>-200</v>
      </c>
    </row>
    <row r="41" spans="2:7" x14ac:dyDescent="0.25">
      <c r="B41" s="78">
        <v>20</v>
      </c>
      <c r="C41" s="78">
        <v>800</v>
      </c>
      <c r="D41" s="80">
        <f t="shared" si="0"/>
        <v>800</v>
      </c>
      <c r="E41" s="80">
        <f t="shared" si="1"/>
        <v>1600</v>
      </c>
      <c r="F41" s="80">
        <f t="shared" si="2"/>
        <v>1600</v>
      </c>
      <c r="G41" s="80">
        <f t="shared" si="3"/>
        <v>0</v>
      </c>
    </row>
    <row r="42" spans="2:7" x14ac:dyDescent="0.25">
      <c r="B42" s="78">
        <v>25</v>
      </c>
      <c r="C42" s="78">
        <v>800</v>
      </c>
      <c r="D42" s="80">
        <f t="shared" si="0"/>
        <v>1000</v>
      </c>
      <c r="E42" s="80">
        <f t="shared" si="1"/>
        <v>1800</v>
      </c>
      <c r="F42" s="80">
        <f t="shared" si="2"/>
        <v>2000</v>
      </c>
      <c r="G42" s="80">
        <f t="shared" si="3"/>
        <v>200</v>
      </c>
    </row>
    <row r="43" spans="2:7" x14ac:dyDescent="0.25">
      <c r="B43" s="78">
        <v>30</v>
      </c>
      <c r="C43" s="78">
        <v>800</v>
      </c>
      <c r="D43" s="80">
        <f t="shared" si="0"/>
        <v>1200</v>
      </c>
      <c r="E43" s="80">
        <f t="shared" si="1"/>
        <v>2000</v>
      </c>
      <c r="F43" s="80">
        <f t="shared" si="2"/>
        <v>2400</v>
      </c>
      <c r="G43" s="80">
        <f t="shared" si="3"/>
        <v>400</v>
      </c>
    </row>
    <row r="44" spans="2:7" x14ac:dyDescent="0.25">
      <c r="B44" s="78">
        <v>35</v>
      </c>
      <c r="C44" s="78">
        <v>800</v>
      </c>
      <c r="D44" s="80">
        <f t="shared" si="0"/>
        <v>1400</v>
      </c>
      <c r="E44" s="80">
        <f t="shared" si="1"/>
        <v>2200</v>
      </c>
      <c r="F44" s="80">
        <f t="shared" si="2"/>
        <v>2800</v>
      </c>
      <c r="G44" s="80">
        <f t="shared" si="3"/>
        <v>600</v>
      </c>
    </row>
    <row r="45" spans="2:7" x14ac:dyDescent="0.25">
      <c r="B45" s="78">
        <v>40</v>
      </c>
      <c r="C45" s="78">
        <v>800</v>
      </c>
      <c r="D45" s="80">
        <f t="shared" si="0"/>
        <v>1600</v>
      </c>
      <c r="E45" s="80">
        <f t="shared" si="1"/>
        <v>2400</v>
      </c>
      <c r="F45" s="80">
        <f t="shared" si="2"/>
        <v>3200</v>
      </c>
      <c r="G45" s="80">
        <f t="shared" si="3"/>
        <v>800</v>
      </c>
    </row>
    <row r="46" spans="2:7" x14ac:dyDescent="0.25">
      <c r="B46" s="78">
        <v>45</v>
      </c>
      <c r="C46" s="78">
        <v>800</v>
      </c>
      <c r="D46" s="80">
        <f t="shared" si="0"/>
        <v>1800</v>
      </c>
      <c r="E46" s="80">
        <f t="shared" si="1"/>
        <v>2600</v>
      </c>
      <c r="F46" s="80">
        <f t="shared" si="2"/>
        <v>3600</v>
      </c>
      <c r="G46" s="80">
        <f t="shared" si="3"/>
        <v>1000</v>
      </c>
    </row>
    <row r="47" spans="2:7" x14ac:dyDescent="0.25">
      <c r="B47" s="78">
        <v>50</v>
      </c>
      <c r="C47" s="78">
        <v>800</v>
      </c>
      <c r="D47" s="80">
        <f t="shared" si="0"/>
        <v>2000</v>
      </c>
      <c r="E47" s="80">
        <f t="shared" si="1"/>
        <v>2800</v>
      </c>
      <c r="F47" s="80">
        <f t="shared" si="2"/>
        <v>4000</v>
      </c>
      <c r="G47" s="80">
        <f t="shared" si="3"/>
        <v>1200</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abSelected="1" topLeftCell="A12" workbookViewId="0">
      <selection activeCell="I15" sqref="I15"/>
    </sheetView>
  </sheetViews>
  <sheetFormatPr defaultRowHeight="15" x14ac:dyDescent="0.25"/>
  <cols>
    <col min="1" max="1" width="10.7109375" style="26" customWidth="1"/>
    <col min="2" max="2" width="9.140625" style="26"/>
    <col min="3" max="6" width="19.28515625" style="26" customWidth="1"/>
    <col min="7" max="16384" width="9.140625" style="26"/>
  </cols>
  <sheetData>
    <row r="1" spans="1:6" ht="18" x14ac:dyDescent="0.25">
      <c r="A1" s="87" t="s">
        <v>118</v>
      </c>
    </row>
    <row r="13" spans="1:6" ht="18" x14ac:dyDescent="0.25">
      <c r="A13" s="87" t="s">
        <v>119</v>
      </c>
    </row>
    <row r="14" spans="1:6" ht="18.75" x14ac:dyDescent="0.3">
      <c r="A14" s="69"/>
      <c r="B14" s="31"/>
      <c r="C14" s="31" t="s">
        <v>50</v>
      </c>
      <c r="D14" s="26" t="s">
        <v>120</v>
      </c>
      <c r="E14" s="26" t="s">
        <v>120</v>
      </c>
      <c r="F14" s="26" t="s">
        <v>123</v>
      </c>
    </row>
    <row r="15" spans="1:6" ht="15.75" x14ac:dyDescent="0.25">
      <c r="A15"/>
      <c r="B15" s="31" t="s">
        <v>26</v>
      </c>
      <c r="C15" s="62">
        <f>'Q3'!G52</f>
        <v>-67500</v>
      </c>
      <c r="D15" s="88">
        <f>C15/'Q3'!F52</f>
        <v>-0.1</v>
      </c>
      <c r="E15" s="26" t="s">
        <v>121</v>
      </c>
    </row>
    <row r="16" spans="1:6" ht="17.25" x14ac:dyDescent="0.35">
      <c r="A16"/>
      <c r="B16" s="70" t="s">
        <v>66</v>
      </c>
      <c r="C16" s="62"/>
      <c r="D16" s="88"/>
    </row>
    <row r="17" spans="1:6" ht="15.75" x14ac:dyDescent="0.25">
      <c r="A17"/>
      <c r="B17" s="31" t="s">
        <v>67</v>
      </c>
      <c r="C17" s="7">
        <f>'Q3'!G54</f>
        <v>38700</v>
      </c>
      <c r="D17" s="88">
        <f>C17/'Q3'!F54</f>
        <v>0.12445730824891461</v>
      </c>
      <c r="E17" s="26" t="s">
        <v>121</v>
      </c>
      <c r="F17" s="26" t="s">
        <v>124</v>
      </c>
    </row>
    <row r="18" spans="1:6" ht="15.75" x14ac:dyDescent="0.25">
      <c r="A18"/>
      <c r="B18" s="31" t="s">
        <v>68</v>
      </c>
      <c r="C18" s="7">
        <f>'Q3'!G55</f>
        <v>30750</v>
      </c>
      <c r="D18" s="88">
        <f>C18/'Q3'!F55</f>
        <v>0.31297709923664124</v>
      </c>
      <c r="E18" s="26" t="s">
        <v>122</v>
      </c>
      <c r="F18" s="26" t="s">
        <v>125</v>
      </c>
    </row>
    <row r="19" spans="1:6" ht="15.75" x14ac:dyDescent="0.25">
      <c r="A19"/>
      <c r="B19" s="31" t="s">
        <v>69</v>
      </c>
      <c r="C19" s="7">
        <f>'Q3'!G56</f>
        <v>37200</v>
      </c>
      <c r="D19" s="88">
        <f>C19/'Q3'!F56</f>
        <v>0.5636363636363636</v>
      </c>
      <c r="E19" s="26" t="s">
        <v>122</v>
      </c>
    </row>
    <row r="20" spans="1:6" ht="15.75" x14ac:dyDescent="0.25">
      <c r="A20"/>
      <c r="B20" s="31" t="s">
        <v>70</v>
      </c>
      <c r="C20" s="41">
        <f>'Q3'!G57</f>
        <v>-174150</v>
      </c>
      <c r="D20" s="88">
        <f>C20/'Q3'!F57</f>
        <v>-0.8716216216216216</v>
      </c>
      <c r="E20" s="26" t="s">
        <v>122</v>
      </c>
      <c r="F20" s="26" t="s">
        <v>126</v>
      </c>
    </row>
    <row r="21" spans="1:6" ht="15.75" x14ac:dyDescent="0.25">
      <c r="A21"/>
      <c r="B21" s="31" t="s">
        <v>71</v>
      </c>
      <c r="C21" s="7">
        <f>'Q3'!G58</f>
        <v>0</v>
      </c>
      <c r="D21" s="88">
        <f>C21/'Q3'!F58</f>
        <v>0</v>
      </c>
      <c r="E21" s="26" t="s">
        <v>121</v>
      </c>
    </row>
    <row r="22" spans="1:6" ht="16.5" thickBot="1" x14ac:dyDescent="0.3">
      <c r="A22"/>
      <c r="B22" s="31" t="s">
        <v>72</v>
      </c>
      <c r="C22" s="71">
        <f>'Q3'!G59</f>
        <v>-174150</v>
      </c>
      <c r="D22" s="88">
        <f>C22/'Q3'!F59</f>
        <v>-1.0763288009888752</v>
      </c>
      <c r="E22" s="26" t="s">
        <v>122</v>
      </c>
      <c r="F22" s="26" t="s">
        <v>126</v>
      </c>
    </row>
    <row r="23" spans="1:6" ht="15.75" thickTop="1"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Q1</vt:lpstr>
      <vt:lpstr>Q2</vt:lpstr>
      <vt:lpstr>Q3</vt:lpstr>
      <vt:lpstr>Q4</vt:lpstr>
      <vt:lpstr>Q5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2020-01-14T12:45:10Z</dcterms:modified>
</cp:coreProperties>
</file>